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55" windowHeight="12135" tabRatio="790" activeTab="11"/>
  </bookViews>
  <sheets>
    <sheet name="Mérleg" sheetId="1" r:id="rId1"/>
    <sheet name="Bevételek" sheetId="2" r:id="rId2"/>
    <sheet name="Kiadások" sheetId="3" r:id="rId3"/>
    <sheet name="Állami támogatás" sheetId="4" r:id="rId4"/>
    <sheet name="Beruházás" sheetId="5" r:id="rId5"/>
    <sheet name="Felújítás" sheetId="6" r:id="rId6"/>
    <sheet name="Többéves" sheetId="7" r:id="rId7"/>
    <sheet name="EU" sheetId="8" r:id="rId8"/>
    <sheet name="Előir. felh." sheetId="9" r:id="rId9"/>
    <sheet name="Közvetett" sheetId="10" r:id="rId10"/>
    <sheet name="Támogatások" sheetId="11" r:id="rId11"/>
    <sheet name="Önként vállalt" sheetId="12" r:id="rId12"/>
  </sheets>
  <definedNames>
    <definedName name="_xlnm.Print_Titles" localSheetId="1">'Bevételek'!$A:$D</definedName>
    <definedName name="_xlnm.Print_Titles" localSheetId="2">'Kiadások'!$A:$D</definedName>
  </definedNames>
  <calcPr fullCalcOnLoad="1"/>
</workbook>
</file>

<file path=xl/sharedStrings.xml><?xml version="1.0" encoding="utf-8"?>
<sst xmlns="http://schemas.openxmlformats.org/spreadsheetml/2006/main" count="763" uniqueCount="375">
  <si>
    <t>(eFt)</t>
  </si>
  <si>
    <t>B E V É T E L E K</t>
  </si>
  <si>
    <t>megnevezése</t>
  </si>
  <si>
    <t>M É R L E G E</t>
  </si>
  <si>
    <t>Megnevezés</t>
  </si>
  <si>
    <t xml:space="preserve"> - általános tartalék</t>
  </si>
  <si>
    <t>előirányzat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</si>
  <si>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</si>
  <si>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</si>
  <si>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</si>
  <si>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</si>
  <si>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</si>
  <si>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</si>
  <si>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</si>
  <si>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</si>
  <si>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</si>
  <si>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</si>
  <si>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</si>
  <si>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</si>
  <si>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</si>
  <si>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</si>
  <si>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</si>
  <si>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</si>
  <si>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</si>
  <si>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</si>
  <si>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</si>
  <si>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</si>
  <si>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</si>
  <si>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</si>
  <si>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</si>
  <si>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</si>
  <si>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</si>
  <si>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</si>
  <si>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</si>
  <si>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</si>
  <si>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</si>
  <si>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</si>
  <si>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</si>
  <si>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</si>
  <si>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</si>
  <si>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</si>
  <si>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</si>
  <si>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</si>
  <si>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</si>
  <si>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</si>
  <si>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</si>
  <si>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</si>
  <si>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</si>
  <si>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</si>
  <si>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</si>
  <si>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</si>
  <si>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8. melléklet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</si>
  <si>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</si>
  <si>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</si>
  <si>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</si>
  <si>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</si>
  <si>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</si>
  <si>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</si>
  <si>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</si>
  <si>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szükséglet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</si>
  <si>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</si>
  <si>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</si>
  <si>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</si>
  <si>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</si>
  <si>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</si>
  <si>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</si>
  <si>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</si>
  <si>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</si>
  <si>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</si>
  <si>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9. melléklet</t>
  </si>
  <si>
    <t>előirányzata célonként</t>
  </si>
  <si>
    <t>Felújítás megnevezése</t>
  </si>
  <si>
    <t>P</t>
  </si>
  <si>
    <t>Q</t>
  </si>
  <si>
    <t>27</t>
  </si>
  <si>
    <t>1</t>
  </si>
  <si>
    <t>Működési hiány:</t>
  </si>
  <si>
    <t>Felhalmozási hiány:</t>
  </si>
  <si>
    <t>35</t>
  </si>
  <si>
    <t>33</t>
  </si>
  <si>
    <t>34</t>
  </si>
  <si>
    <t>37</t>
  </si>
  <si>
    <t>38</t>
  </si>
  <si>
    <t>39</t>
  </si>
  <si>
    <t>28</t>
  </si>
  <si>
    <t>29</t>
  </si>
  <si>
    <t>30</t>
  </si>
  <si>
    <t>31</t>
  </si>
  <si>
    <t>32</t>
  </si>
  <si>
    <t>Menny. egység</t>
  </si>
  <si>
    <t>Mutató</t>
  </si>
  <si>
    <t>Normatíva (Ft/M.e.)</t>
  </si>
  <si>
    <t>2. melléklet I. Helyi önkormányzatok működésének általános támogatása</t>
  </si>
  <si>
    <t>fő</t>
  </si>
  <si>
    <t>2. melléklet I. 1. ba)</t>
  </si>
  <si>
    <t>ha</t>
  </si>
  <si>
    <t>2. melléklet I. 1. bb)</t>
  </si>
  <si>
    <t>2. melléklet I. 1. bc)</t>
  </si>
  <si>
    <t>2. melléklet I. 1. bd)</t>
  </si>
  <si>
    <t>2. melléklet I. 1. c)</t>
  </si>
  <si>
    <t>2. melléklet I. Helyi önkormányzatok működésének általános támogatása összesen:</t>
  </si>
  <si>
    <t>Óvodapedagógusok bértámogatása 8 hónapra</t>
  </si>
  <si>
    <t>Óvodapedagógusok bértámogatása 4 hónapra</t>
  </si>
  <si>
    <t>Óvodaped. munk. közv. segítők bértám. 8 hónapra</t>
  </si>
  <si>
    <t>Óvodaped. munk. közv. segítők bértám. 4 hónapra</t>
  </si>
  <si>
    <t>2. melléklet II. 2.</t>
  </si>
  <si>
    <t>Óvodaműködtetési támogatás 8 hónapra</t>
  </si>
  <si>
    <t>Óvodaműködtetési támogatás 4 hónapra</t>
  </si>
  <si>
    <t>2. melléklet III. Szociális és gyermekjóléti feladatok támogatása:</t>
  </si>
  <si>
    <t>2. melléklet III. 2.</t>
  </si>
  <si>
    <t>2. melléklet III. Szociális és gyermekjóléti feladatok támogatása összesen:</t>
  </si>
  <si>
    <t>2. melléklet IV. Kulturális feladatok támogatása:</t>
  </si>
  <si>
    <t>2. melléklet IV. 1. d)</t>
  </si>
  <si>
    <t>Könyvtári ellátás és közművelődési feladatok</t>
  </si>
  <si>
    <t>2. melléklet IV. Kulturális feladatok támogatása összesen:</t>
  </si>
  <si>
    <t>3. melléklet Önkormányzatok által felhasználható központosított előirányzatok:</t>
  </si>
  <si>
    <t>3. melléklet 15.</t>
  </si>
  <si>
    <t>Üdülőhelyi feladatok</t>
  </si>
  <si>
    <t>3. melléklet Önkormányzatok által felhasználható központosított előirányzatok összesen:</t>
  </si>
  <si>
    <t>Költségvetési támogatás összesen:</t>
  </si>
  <si>
    <t>Működési többlet:</t>
  </si>
  <si>
    <t>Felhalmozási többlet:</t>
  </si>
  <si>
    <t>Európai uniós támogatással megvalósuló programok</t>
  </si>
  <si>
    <t>Év</t>
  </si>
  <si>
    <t>Támogatás</t>
  </si>
  <si>
    <t>10. melléklet</t>
  </si>
  <si>
    <t>11. melléklet</t>
  </si>
  <si>
    <t>Többéves kihatással járó döntések</t>
  </si>
  <si>
    <t>évenkénti bontásban és összesítve</t>
  </si>
  <si>
    <t>(kedvezmények, mentességek)</t>
  </si>
  <si>
    <t>Ellátottak térítési díjának, kártérítésének méltányossági alapon történő elengedése</t>
  </si>
  <si>
    <t>Lakosság részére lakásépítéshez, lakásfelújításhoz nyújtott kölcsön elengedése</t>
  </si>
  <si>
    <t>Helyi adóknál, gépjárműadónál biztosított, kedvezmény mentesség adónemenként</t>
  </si>
  <si>
    <t xml:space="preserve"> - Magánszemélyek kommunális adója</t>
  </si>
  <si>
    <t xml:space="preserve"> - Helyi iparűzési adó</t>
  </si>
  <si>
    <t xml:space="preserve"> - Gépjárműadó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</si>
  <si>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</si>
  <si>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</si>
  <si>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</si>
  <si>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</si>
  <si>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t>Kiadás</t>
  </si>
  <si>
    <t>összege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</si>
  <si>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</si>
  <si>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</si>
  <si>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</si>
  <si>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</si>
  <si>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</si>
  <si>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</si>
  <si>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</si>
  <si>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</si>
  <si>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</si>
  <si>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</si>
  <si>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</si>
  <si>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</si>
  <si>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BEVÉTELI FORRÁS</t>
  </si>
  <si>
    <t>BEVÉTELEK ÖSSZESEN</t>
  </si>
  <si>
    <t>KIADÁSI JOGCÍMEK</t>
  </si>
  <si>
    <t>KIADÁSOK ÖSSZESEN</t>
  </si>
  <si>
    <t xml:space="preserve">  Egyenleg az időszak végén</t>
  </si>
  <si>
    <t>40</t>
  </si>
  <si>
    <t>ELŐIRÁNYZAT-FELHASZNÁLÁSI TERVE</t>
  </si>
  <si>
    <t>tény</t>
  </si>
  <si>
    <t>terv</t>
  </si>
  <si>
    <t xml:space="preserve">  Likvid hitel állomány az időszak végén</t>
  </si>
  <si>
    <t>km</t>
  </si>
  <si>
    <t>2. melléklet II. 1.</t>
  </si>
  <si>
    <t>Gyermekétkeztetés támogatása - dolgozók bértámogatása</t>
  </si>
  <si>
    <t>Gyermekétkeztetés támogatása - üzemeltetési támogatás</t>
  </si>
  <si>
    <t>41</t>
  </si>
  <si>
    <t>2. melléklet II. Köznevelési feladatok támogatása összesen:</t>
  </si>
  <si>
    <t>2. melléklet II. Köznevelési feladatok támogatása:</t>
  </si>
  <si>
    <t>Lakott külterülettel kapcsolatos feladatok támogatása</t>
  </si>
  <si>
    <t>Tel. önk. köznevelési feladatainak egyéb támogatása</t>
  </si>
  <si>
    <t>BEVÉTELEK</t>
  </si>
  <si>
    <t>3. melléklet 16.</t>
  </si>
  <si>
    <t>3. melléklet 17.</t>
  </si>
  <si>
    <t xml:space="preserve">   ebből:</t>
  </si>
  <si>
    <t xml:space="preserve"> - OEP támogatás</t>
  </si>
  <si>
    <t>B3 Közhatalmi bevételek</t>
  </si>
  <si>
    <t xml:space="preserve"> - építményadó</t>
  </si>
  <si>
    <t xml:space="preserve"> - magánszemélyek kommunális adója</t>
  </si>
  <si>
    <t xml:space="preserve"> - helyi iparűzési adó</t>
  </si>
  <si>
    <t xml:space="preserve"> - gépjárműadó</t>
  </si>
  <si>
    <t>B4 Működési bevételek</t>
  </si>
  <si>
    <t>B6 Működési célú átvett pénzeszközök</t>
  </si>
  <si>
    <t>Működési bevételek összesen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</si>
  <si>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</si>
  <si>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</si>
  <si>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</si>
  <si>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</si>
  <si>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</si>
  <si>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bevételek összesen</t>
  </si>
  <si>
    <t>1.</t>
  </si>
  <si>
    <t>2.</t>
  </si>
  <si>
    <t>3.</t>
  </si>
  <si>
    <t>Felhalmozási célú hitelek felvétele</t>
  </si>
  <si>
    <t>Előző év költségvetési maradványának igénybevétele</t>
  </si>
  <si>
    <t xml:space="preserve"> Működési célra:</t>
  </si>
  <si>
    <t xml:space="preserve"> Felhalmozási célra:</t>
  </si>
  <si>
    <t>B8 Finanszírozási bevételek</t>
  </si>
  <si>
    <t>Központi, irányító szervi támogatás</t>
  </si>
  <si>
    <t xml:space="preserve"> - ebből kötelező feladat</t>
  </si>
  <si>
    <t xml:space="preserve"> - ebből önként vállalt feladat</t>
  </si>
  <si>
    <t>Hajdúnánás Városi Önkormányzat</t>
  </si>
  <si>
    <t>Hajdúnánási Közös Önkormányzati Hivatal</t>
  </si>
  <si>
    <t>2014. eredeti előirányzat</t>
  </si>
  <si>
    <t>Családsegítő és Gyermekjóléti Szolgálat, Bölcsőde</t>
  </si>
  <si>
    <t>Önkormányzat összesen</t>
  </si>
  <si>
    <t>KIADÁSOK</t>
  </si>
  <si>
    <t>Működési kiadások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</si>
  <si>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</si>
  <si>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</si>
  <si>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</si>
  <si>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</si>
  <si>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</si>
  <si>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Működési kiadások összesen</t>
  </si>
  <si>
    <t>Felhalmozási kiadások</t>
  </si>
  <si>
    <t>K6 Beruházások</t>
  </si>
  <si>
    <t>K7 Felújítások</t>
  </si>
  <si>
    <t>K8 Egyéb felhalmozási célú kiadások</t>
  </si>
  <si>
    <t>Felhalmozási kiadások összesen</t>
  </si>
  <si>
    <t>Költségvetési bevételek összesen</t>
  </si>
  <si>
    <t>K9 Finanszírozási kiadások</t>
  </si>
  <si>
    <t>Felhalmozási célú hitelek törlesztése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</si>
  <si>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</si>
  <si>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</si>
  <si>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</si>
  <si>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</si>
  <si>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>Központi, irányító szervi támogatás folyósítása</t>
  </si>
  <si>
    <t>Tartalékok</t>
  </si>
  <si>
    <t>Engedélyezett létszám:</t>
  </si>
  <si>
    <t>Közfoglalkoztatottak éves átlaglétszáma:</t>
  </si>
  <si>
    <t>2014. január 1-től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</si>
  <si>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</si>
  <si>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</si>
  <si>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</si>
  <si>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</si>
  <si>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</si>
  <si>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</si>
  <si>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49</t>
  </si>
  <si>
    <t>50</t>
  </si>
  <si>
    <t>51</t>
  </si>
  <si>
    <t>52</t>
  </si>
  <si>
    <t>53</t>
  </si>
  <si>
    <t>5. melléklet</t>
  </si>
  <si>
    <t>6. melléklet</t>
  </si>
  <si>
    <t>Előző időszakról áthúzódó pénzkészlet</t>
  </si>
  <si>
    <t>B7 Felhalmozási célú átvett pénzeszközök</t>
  </si>
  <si>
    <t>Előző év költségvetési maradványának igénybev.</t>
  </si>
  <si>
    <t>B2 Felhalmozási célú támogatások áht-n belülről</t>
  </si>
  <si>
    <t>B1 Működési célú támogatások áht-n belülről</t>
  </si>
  <si>
    <t>2014. december 1-től</t>
  </si>
  <si>
    <t>2014. december 31-én</t>
  </si>
  <si>
    <t>7. melléklet</t>
  </si>
  <si>
    <t>K2 Munkaadókat terhelő jár. és szociális hj. adó</t>
  </si>
  <si>
    <t xml:space="preserve"> - beszámítás után</t>
  </si>
  <si>
    <t>2. melléklet I. 1. d)</t>
  </si>
  <si>
    <t>Települési önkorm. szociális feladatainak egyéb tám.</t>
  </si>
  <si>
    <t xml:space="preserve"> - bírság és végrehajtási költség, egyéb bevétel</t>
  </si>
  <si>
    <t xml:space="preserve"> - ebből államigazgatási feladat</t>
  </si>
  <si>
    <t>(Ft)</t>
  </si>
  <si>
    <t>Előző év költségvetési maradványának igénybevétele működési</t>
  </si>
  <si>
    <t>4. melléklet</t>
  </si>
  <si>
    <t>2016. eredeti előirányzat</t>
  </si>
  <si>
    <t xml:space="preserve"> - költségvetési támogatás Kvtv.. 2. mell.</t>
  </si>
  <si>
    <t xml:space="preserve"> - önkormányzatok rendkívüli támogatása Kvtv.. 3.III. mell.</t>
  </si>
  <si>
    <t xml:space="preserve"> - Vágópont kialakításához (közfoglalkoztatási program önereje)</t>
  </si>
  <si>
    <t>2. melléklet III. 5. a)</t>
  </si>
  <si>
    <t>2. melléklet III. 5. b)</t>
  </si>
  <si>
    <t>Rászoruló gyermekek szünidei étkeztetésének támogatása</t>
  </si>
  <si>
    <t>Államháztartáson belüli megelőlegezés</t>
  </si>
  <si>
    <t>Likvid hitelek törlesztése</t>
  </si>
  <si>
    <t>Likvid hitelek igénybev. (folyószámlahitel)</t>
  </si>
  <si>
    <t>Áht-n belüli megelőlegezések visszafizetése</t>
  </si>
  <si>
    <t>Zöldterület-gazdálkodással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</si>
  <si>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</si>
  <si>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</si>
  <si>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</si>
  <si>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</si>
  <si>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2. melléklet III. 6.</t>
  </si>
  <si>
    <t xml:space="preserve"> - Sportcsarnoképítés önerejéhez</t>
  </si>
  <si>
    <t xml:space="preserve"> - Bocskai u. 79. alatti társasház felújításához</t>
  </si>
  <si>
    <t xml:space="preserve"> - Ingatlanvárálás (Bartók Béla krt. 27.)</t>
  </si>
  <si>
    <t>Rövid lejáratú hitelek törlesztése</t>
  </si>
  <si>
    <t xml:space="preserve"> - Államháztartáson belüli megelőlegezések visszafizetése</t>
  </si>
  <si>
    <t>Likvid hitel, rövid lejáratú hitel igénybevétele</t>
  </si>
  <si>
    <t>2018.</t>
  </si>
  <si>
    <t>Rövid lejáratú hitelek</t>
  </si>
  <si>
    <t>2. melléklet I. 6.</t>
  </si>
  <si>
    <t>Polgármesteri illetmény támogatása</t>
  </si>
  <si>
    <t>ADÓERŐKÉPESSÉG:</t>
  </si>
  <si>
    <t>Települési adóalap:</t>
  </si>
  <si>
    <t>Adóerőképesség:</t>
  </si>
  <si>
    <t>Lakosságszám:</t>
  </si>
  <si>
    <t>Egy főre eső adóerők.:</t>
  </si>
  <si>
    <t>Számított bevétel</t>
  </si>
  <si>
    <t>Számított bevétel 50%-a</t>
  </si>
  <si>
    <t>2%-al számolva:</t>
  </si>
  <si>
    <t>2016. tény</t>
  </si>
  <si>
    <t>Norm.</t>
  </si>
  <si>
    <t>Tám.</t>
  </si>
  <si>
    <t>Kül.</t>
  </si>
  <si>
    <t>2. melléklet V.</t>
  </si>
  <si>
    <t>Kiegészítés</t>
  </si>
  <si>
    <t>2. melléklet I. 5.</t>
  </si>
  <si>
    <t xml:space="preserve">20/2017. (I.26.) Kt határozat alapján. </t>
  </si>
  <si>
    <t>A támgatási összeg két részletben kerül folyósításra. A második részlet utalása folymatban van. A teljes összeg felhasználásra került.</t>
  </si>
  <si>
    <t>Összeg (Ft)</t>
  </si>
  <si>
    <t>Önkormányzatok és önk. hivatalok jogalkotó és  ált. ig. tev.</t>
  </si>
  <si>
    <t>Hajdúnánási Közös Önkormányzati Hivatal működéséhez hozzájárulás</t>
  </si>
  <si>
    <t>Polgár Város Önkormányzatának ügyeleti ellátásra</t>
  </si>
  <si>
    <t>Sporttámogatás</t>
  </si>
  <si>
    <t>084031</t>
  </si>
  <si>
    <t>Összesen:</t>
  </si>
  <si>
    <t>Közfoglalkoztatás beruházási kiadásai</t>
  </si>
  <si>
    <t>2019.</t>
  </si>
  <si>
    <t>várható</t>
  </si>
  <si>
    <t>Pmaradvány</t>
  </si>
  <si>
    <t>Önerő</t>
  </si>
  <si>
    <t>EFOP</t>
  </si>
  <si>
    <t>Felújítás</t>
  </si>
  <si>
    <t>Kormányzati</t>
  </si>
  <si>
    <t>Intézmény / feladat</t>
  </si>
  <si>
    <t>Bevétel</t>
  </si>
  <si>
    <t>funkciókód</t>
  </si>
  <si>
    <t>* A bevétel központi költségvetési támogatás</t>
  </si>
  <si>
    <t>12. melléklet</t>
  </si>
  <si>
    <t>2019. évi támogatás (Ft)</t>
  </si>
  <si>
    <t>VP6-7.2.1-7.4.1.2-16 Vidékfejlesztési Program - helyi közutak fejlesztése</t>
  </si>
  <si>
    <t>Tiszagyulaházi Aprajafalva Óvoda</t>
  </si>
  <si>
    <t>Védőnői ellátás *</t>
  </si>
  <si>
    <t>Tiszagyulaháza Község Önkormányzata</t>
  </si>
  <si>
    <t>2020. évi előirányzat</t>
  </si>
  <si>
    <t>Óvoda eszközbeszerzés</t>
  </si>
  <si>
    <t>Tiszagyulaháza Község Önkormányzata 2020. évi beruházási kiadásainak</t>
  </si>
  <si>
    <t>2020. évi</t>
  </si>
  <si>
    <t>2020. év utáni</t>
  </si>
  <si>
    <t>4.</t>
  </si>
  <si>
    <t>Tiszagyulaháza Község Önkormányzata közvetett támogatások 2020 *</t>
  </si>
  <si>
    <t>Tiszagyulaháza Község Önkormányzata által 2020. évben ellátott önként vállalt feladatok</t>
  </si>
  <si>
    <t>2020. évi központi költségvetési támogatás</t>
  </si>
  <si>
    <t>Polgárőrség, Alapítvány, Eszterág</t>
  </si>
  <si>
    <t>Tiszagyulaháza Község Önkormányzata által 2020. évben biztosított támogatások előirányzata</t>
  </si>
  <si>
    <t>Tiszadobi Családsegítő és Gyermekjóléti Térségi Intézményfenntartó Tásulásnak működésre</t>
  </si>
  <si>
    <t>Tiszagyulaháza Község Önkormányzata 2020. évi felújítási kiadásainak</t>
  </si>
  <si>
    <t xml:space="preserve">Petőfi utca felújítása </t>
  </si>
  <si>
    <t>2019.12.31-ig</t>
  </si>
  <si>
    <t xml:space="preserve">Petofi utca felújítása </t>
  </si>
  <si>
    <t xml:space="preserve">Efopos pályázat keretében térfigyelőkamera és világítás </t>
  </si>
  <si>
    <t>5.</t>
  </si>
  <si>
    <t>Tiszagyulaháza Község Önkormányzata 2020. évi költségvetése bevételeinek és kiadásainak nettósított</t>
  </si>
  <si>
    <t>2020.</t>
  </si>
  <si>
    <t>Tiszagyulaháza Község Önkormányzata 2020. évi</t>
  </si>
  <si>
    <t>Központi, írányítószervi támogatások</t>
  </si>
  <si>
    <t>Kiegészítő támogatás</t>
  </si>
  <si>
    <t>36</t>
  </si>
  <si>
    <t>Közvilágítás korszerűsítés</t>
  </si>
  <si>
    <t>2023-2035</t>
  </si>
  <si>
    <r>
      <t>m</t>
    </r>
    <r>
      <rPr>
        <vertAlign val="superscript"/>
        <sz val="10"/>
        <rFont val="Arial"/>
        <family val="2"/>
      </rPr>
      <t>2</t>
    </r>
  </si>
  <si>
    <r>
      <t xml:space="preserve">* Az államháztartásról szóló 2011. évi CXCV. törvény 24. § (4) bekezdés </t>
    </r>
    <r>
      <rPr>
        <i/>
        <sz val="9"/>
        <rFont val="Arial"/>
        <family val="2"/>
      </rPr>
      <t>c)</t>
    </r>
    <r>
      <rPr>
        <sz val="9"/>
        <rFont val="Arial"/>
        <family val="2"/>
      </rPr>
      <t xml:space="preserve"> pontja alapján.</t>
    </r>
  </si>
  <si>
    <t>A 2020. évről áthúzódó bérkompenzáció támogatása</t>
  </si>
  <si>
    <t>3. melléklet I. Működési célú támogatások:</t>
  </si>
  <si>
    <t xml:space="preserve">3. melléklet I. 1. </t>
  </si>
  <si>
    <t>Lakossági víz és csatornaszolgáltatás támogatása</t>
  </si>
  <si>
    <t xml:space="preserve">4. melléklet I. 8. </t>
  </si>
  <si>
    <t>A települési önkormányzatok szociális célú tüzelőanyag vásárláshoz kapcsolódó támogatása</t>
  </si>
  <si>
    <t>3. melléklet I. Működési célú támogatások összesen:</t>
  </si>
  <si>
    <t>Citoren gépjármű beszerzés</t>
  </si>
  <si>
    <t>2019. évi kieggészítő támogatás  számítógép beszerzés</t>
  </si>
  <si>
    <t>Kossuth utca 62.A ingatlan beruházása</t>
  </si>
  <si>
    <t>6.</t>
  </si>
  <si>
    <t>7.</t>
  </si>
  <si>
    <t>Lakossági víz és csatorna szolg. kapott támogatás továbbutalása</t>
  </si>
  <si>
    <t>az 1/2021 (II. 24.) Önkormányzati Rendelethez</t>
  </si>
  <si>
    <t>az 1/2021 (II. 24.)Önkormányzati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</si>
</sst>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i/>
      <sz val="9"/>
      <name val="Arial CE"/>
      <family val="0"/>
    </font>
    <font>
      <sz val="9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 CE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 CE"/>
      <family val="2"/>
    </font>
    <font>
      <u val="single"/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3" fontId="13" fillId="33" borderId="33" xfId="0" applyNumberFormat="1" applyFont="1" applyFill="1" applyBorder="1" applyAlignment="1">
      <alignment/>
    </xf>
    <xf numFmtId="3" fontId="13" fillId="33" borderId="34" xfId="0" applyNumberFormat="1" applyFont="1" applyFill="1" applyBorder="1" applyAlignment="1">
      <alignment/>
    </xf>
    <xf numFmtId="3" fontId="13" fillId="33" borderId="3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3" fontId="7" fillId="0" borderId="39" xfId="0" applyNumberFormat="1" applyFont="1" applyBorder="1" applyAlignment="1">
      <alignment/>
    </xf>
    <xf numFmtId="0" fontId="7" fillId="0" borderId="40" xfId="0" applyFont="1" applyBorder="1" applyAlignment="1">
      <alignment/>
    </xf>
    <xf numFmtId="3" fontId="13" fillId="33" borderId="41" xfId="0" applyNumberFormat="1" applyFont="1" applyFill="1" applyBorder="1" applyAlignment="1">
      <alignment/>
    </xf>
    <xf numFmtId="3" fontId="13" fillId="33" borderId="42" xfId="0" applyNumberFormat="1" applyFont="1" applyFill="1" applyBorder="1" applyAlignment="1">
      <alignment/>
    </xf>
    <xf numFmtId="0" fontId="13" fillId="33" borderId="43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3" fontId="13" fillId="33" borderId="44" xfId="0" applyNumberFormat="1" applyFont="1" applyFill="1" applyBorder="1" applyAlignment="1">
      <alignment/>
    </xf>
    <xf numFmtId="3" fontId="13" fillId="33" borderId="45" xfId="0" applyNumberFormat="1" applyFont="1" applyFill="1" applyBorder="1" applyAlignment="1">
      <alignment/>
    </xf>
    <xf numFmtId="3" fontId="13" fillId="33" borderId="46" xfId="0" applyNumberFormat="1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47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0" fontId="13" fillId="33" borderId="49" xfId="0" applyFont="1" applyFill="1" applyBorder="1" applyAlignment="1">
      <alignment/>
    </xf>
    <xf numFmtId="0" fontId="7" fillId="34" borderId="49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50" xfId="0" applyFont="1" applyBorder="1" applyAlignment="1">
      <alignment/>
    </xf>
    <xf numFmtId="3" fontId="7" fillId="34" borderId="24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53" xfId="0" applyFont="1" applyBorder="1" applyAlignment="1">
      <alignment horizontal="right"/>
    </xf>
    <xf numFmtId="0" fontId="7" fillId="0" borderId="53" xfId="0" applyFont="1" applyBorder="1" applyAlignment="1">
      <alignment/>
    </xf>
    <xf numFmtId="0" fontId="15" fillId="0" borderId="23" xfId="0" applyFont="1" applyBorder="1" applyAlignment="1">
      <alignment/>
    </xf>
    <xf numFmtId="0" fontId="16" fillId="34" borderId="24" xfId="0" applyFont="1" applyFill="1" applyBorder="1" applyAlignment="1">
      <alignment/>
    </xf>
    <xf numFmtId="0" fontId="15" fillId="34" borderId="24" xfId="0" applyFont="1" applyFill="1" applyBorder="1" applyAlignment="1">
      <alignment/>
    </xf>
    <xf numFmtId="3" fontId="16" fillId="34" borderId="24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23" xfId="0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0" xfId="0" applyFont="1" applyAlignment="1">
      <alignment/>
    </xf>
    <xf numFmtId="0" fontId="16" fillId="34" borderId="23" xfId="0" applyFont="1" applyFill="1" applyBorder="1" applyAlignment="1">
      <alignment/>
    </xf>
    <xf numFmtId="3" fontId="10" fillId="34" borderId="24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3" fontId="7" fillId="0" borderId="53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13" fillId="0" borderId="26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/>
    </xf>
    <xf numFmtId="0" fontId="13" fillId="34" borderId="53" xfId="0" applyFont="1" applyFill="1" applyBorder="1" applyAlignment="1">
      <alignment/>
    </xf>
    <xf numFmtId="0" fontId="13" fillId="34" borderId="26" xfId="0" applyFont="1" applyFill="1" applyBorder="1" applyAlignment="1">
      <alignment/>
    </xf>
    <xf numFmtId="0" fontId="13" fillId="34" borderId="23" xfId="0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166" fontId="7" fillId="0" borderId="24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0" fontId="7" fillId="34" borderId="53" xfId="0" applyFont="1" applyFill="1" applyBorder="1" applyAlignment="1">
      <alignment/>
    </xf>
    <xf numFmtId="0" fontId="7" fillId="34" borderId="26" xfId="0" applyFont="1" applyFill="1" applyBorder="1" applyAlignment="1">
      <alignment horizontal="center"/>
    </xf>
    <xf numFmtId="166" fontId="7" fillId="34" borderId="26" xfId="0" applyNumberFormat="1" applyFont="1" applyFill="1" applyBorder="1" applyAlignment="1">
      <alignment/>
    </xf>
    <xf numFmtId="3" fontId="7" fillId="34" borderId="23" xfId="0" applyNumberFormat="1" applyFont="1" applyFill="1" applyBorder="1" applyAlignment="1">
      <alignment/>
    </xf>
    <xf numFmtId="3" fontId="13" fillId="34" borderId="24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34" borderId="26" xfId="0" applyFont="1" applyFill="1" applyBorder="1" applyAlignment="1">
      <alignment horizontal="center"/>
    </xf>
    <xf numFmtId="166" fontId="13" fillId="34" borderId="26" xfId="0" applyNumberFormat="1" applyFont="1" applyFill="1" applyBorder="1" applyAlignment="1">
      <alignment/>
    </xf>
    <xf numFmtId="3" fontId="13" fillId="34" borderId="26" xfId="0" applyNumberFormat="1" applyFont="1" applyFill="1" applyBorder="1" applyAlignment="1">
      <alignment/>
    </xf>
    <xf numFmtId="3" fontId="13" fillId="34" borderId="23" xfId="0" applyNumberFormat="1" applyFont="1" applyFill="1" applyBorder="1" applyAlignment="1">
      <alignment/>
    </xf>
    <xf numFmtId="0" fontId="7" fillId="0" borderId="5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9" fontId="7" fillId="0" borderId="53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33" borderId="56" xfId="0" applyFont="1" applyFill="1" applyBorder="1" applyAlignment="1">
      <alignment/>
    </xf>
    <xf numFmtId="0" fontId="13" fillId="33" borderId="56" xfId="0" applyFont="1" applyFill="1" applyBorder="1" applyAlignment="1">
      <alignment horizontal="center"/>
    </xf>
    <xf numFmtId="0" fontId="13" fillId="33" borderId="57" xfId="0" applyFont="1" applyFill="1" applyBorder="1" applyAlignment="1">
      <alignment/>
    </xf>
    <xf numFmtId="0" fontId="13" fillId="33" borderId="57" xfId="0" applyFont="1" applyFill="1" applyBorder="1" applyAlignment="1">
      <alignment horizontal="center"/>
    </xf>
    <xf numFmtId="0" fontId="13" fillId="33" borderId="58" xfId="0" applyFont="1" applyFill="1" applyBorder="1" applyAlignment="1">
      <alignment horizontal="center"/>
    </xf>
    <xf numFmtId="0" fontId="13" fillId="33" borderId="59" xfId="0" applyFont="1" applyFill="1" applyBorder="1" applyAlignment="1">
      <alignment horizontal="center"/>
    </xf>
    <xf numFmtId="0" fontId="7" fillId="0" borderId="60" xfId="0" applyFont="1" applyBorder="1" applyAlignment="1">
      <alignment/>
    </xf>
    <xf numFmtId="3" fontId="7" fillId="0" borderId="61" xfId="0" applyNumberFormat="1" applyFont="1" applyBorder="1" applyAlignment="1">
      <alignment horizontal="right"/>
    </xf>
    <xf numFmtId="1" fontId="7" fillId="0" borderId="61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0" fontId="7" fillId="0" borderId="63" xfId="0" applyFont="1" applyBorder="1" applyAlignment="1">
      <alignment/>
    </xf>
    <xf numFmtId="3" fontId="7" fillId="0" borderId="64" xfId="0" applyNumberFormat="1" applyFont="1" applyBorder="1" applyAlignment="1">
      <alignment horizontal="right"/>
    </xf>
    <xf numFmtId="1" fontId="7" fillId="0" borderId="64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0" fontId="7" fillId="0" borderId="66" xfId="0" applyFont="1" applyBorder="1" applyAlignment="1">
      <alignment/>
    </xf>
    <xf numFmtId="3" fontId="7" fillId="0" borderId="67" xfId="0" applyNumberFormat="1" applyFont="1" applyBorder="1" applyAlignment="1">
      <alignment/>
    </xf>
    <xf numFmtId="1" fontId="7" fillId="0" borderId="67" xfId="0" applyNumberFormat="1" applyFont="1" applyBorder="1" applyAlignment="1">
      <alignment/>
    </xf>
    <xf numFmtId="3" fontId="7" fillId="0" borderId="6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0" fontId="13" fillId="33" borderId="70" xfId="0" applyFont="1" applyFill="1" applyBorder="1" applyAlignment="1">
      <alignment/>
    </xf>
    <xf numFmtId="3" fontId="13" fillId="33" borderId="7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3" fontId="7" fillId="0" borderId="71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68" xfId="0" applyNumberFormat="1" applyFont="1" applyFill="1" applyBorder="1" applyAlignment="1">
      <alignment/>
    </xf>
    <xf numFmtId="0" fontId="7" fillId="0" borderId="72" xfId="0" applyFont="1" applyBorder="1" applyAlignment="1">
      <alignment/>
    </xf>
    <xf numFmtId="1" fontId="7" fillId="0" borderId="73" xfId="0" applyNumberFormat="1" applyFont="1" applyBorder="1" applyAlignment="1">
      <alignment/>
    </xf>
    <xf numFmtId="3" fontId="7" fillId="0" borderId="73" xfId="0" applyNumberFormat="1" applyFont="1" applyBorder="1" applyAlignment="1">
      <alignment/>
    </xf>
    <xf numFmtId="3" fontId="7" fillId="0" borderId="74" xfId="0" applyNumberFormat="1" applyFont="1" applyBorder="1" applyAlignment="1">
      <alignment/>
    </xf>
    <xf numFmtId="0" fontId="7" fillId="0" borderId="75" xfId="0" applyFont="1" applyBorder="1" applyAlignment="1">
      <alignment/>
    </xf>
    <xf numFmtId="1" fontId="7" fillId="0" borderId="76" xfId="0" applyNumberFormat="1" applyFont="1" applyBorder="1" applyAlignment="1">
      <alignment/>
    </xf>
    <xf numFmtId="3" fontId="7" fillId="0" borderId="76" xfId="0" applyNumberFormat="1" applyFont="1" applyBorder="1" applyAlignment="1">
      <alignment/>
    </xf>
    <xf numFmtId="3" fontId="7" fillId="0" borderId="77" xfId="0" applyNumberFormat="1" applyFont="1" applyBorder="1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33" borderId="70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60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3" fontId="7" fillId="0" borderId="59" xfId="0" applyNumberFormat="1" applyFont="1" applyBorder="1" applyAlignment="1">
      <alignment/>
    </xf>
    <xf numFmtId="0" fontId="7" fillId="0" borderId="31" xfId="0" applyFont="1" applyBorder="1" applyAlignment="1">
      <alignment/>
    </xf>
    <xf numFmtId="3" fontId="7" fillId="0" borderId="78" xfId="0" applyNumberFormat="1" applyFont="1" applyBorder="1" applyAlignment="1">
      <alignment/>
    </xf>
    <xf numFmtId="3" fontId="7" fillId="0" borderId="79" xfId="0" applyNumberFormat="1" applyFont="1" applyBorder="1" applyAlignment="1">
      <alignment/>
    </xf>
    <xf numFmtId="0" fontId="7" fillId="0" borderId="80" xfId="0" applyFont="1" applyBorder="1" applyAlignment="1">
      <alignment horizontal="center"/>
    </xf>
    <xf numFmtId="3" fontId="7" fillId="0" borderId="81" xfId="0" applyNumberFormat="1" applyFont="1" applyBorder="1" applyAlignment="1">
      <alignment/>
    </xf>
    <xf numFmtId="3" fontId="7" fillId="0" borderId="8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33" borderId="56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3" fillId="33" borderId="60" xfId="0" applyFont="1" applyFill="1" applyBorder="1" applyAlignment="1">
      <alignment vertical="center"/>
    </xf>
    <xf numFmtId="3" fontId="7" fillId="33" borderId="61" xfId="0" applyNumberFormat="1" applyFont="1" applyFill="1" applyBorder="1" applyAlignment="1">
      <alignment vertical="center"/>
    </xf>
    <xf numFmtId="3" fontId="7" fillId="33" borderId="62" xfId="0" applyNumberFormat="1" applyFont="1" applyFill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3" fontId="10" fillId="33" borderId="67" xfId="0" applyNumberFormat="1" applyFont="1" applyFill="1" applyBorder="1" applyAlignment="1">
      <alignment vertical="center"/>
    </xf>
    <xf numFmtId="3" fontId="10" fillId="0" borderId="67" xfId="0" applyNumberFormat="1" applyFont="1" applyBorder="1" applyAlignment="1">
      <alignment vertical="center"/>
    </xf>
    <xf numFmtId="3" fontId="10" fillId="33" borderId="68" xfId="0" applyNumberFormat="1" applyFont="1" applyFill="1" applyBorder="1" applyAlignment="1">
      <alignment vertical="center"/>
    </xf>
    <xf numFmtId="3" fontId="10" fillId="0" borderId="68" xfId="0" applyNumberFormat="1" applyFont="1" applyBorder="1" applyAlignment="1">
      <alignment vertical="center"/>
    </xf>
    <xf numFmtId="3" fontId="13" fillId="33" borderId="58" xfId="0" applyNumberFormat="1" applyFont="1" applyFill="1" applyBorder="1" applyAlignment="1">
      <alignment vertical="center"/>
    </xf>
    <xf numFmtId="3" fontId="21" fillId="33" borderId="83" xfId="0" applyNumberFormat="1" applyFont="1" applyFill="1" applyBorder="1" applyAlignment="1">
      <alignment vertical="center"/>
    </xf>
    <xf numFmtId="3" fontId="21" fillId="33" borderId="59" xfId="0" applyNumberFormat="1" applyFont="1" applyFill="1" applyBorder="1" applyAlignment="1">
      <alignment vertical="center"/>
    </xf>
    <xf numFmtId="3" fontId="13" fillId="33" borderId="60" xfId="0" applyNumberFormat="1" applyFont="1" applyFill="1" applyBorder="1" applyAlignment="1">
      <alignment vertical="center"/>
    </xf>
    <xf numFmtId="3" fontId="10" fillId="33" borderId="61" xfId="0" applyNumberFormat="1" applyFont="1" applyFill="1" applyBorder="1" applyAlignment="1">
      <alignment vertical="center"/>
    </xf>
    <xf numFmtId="3" fontId="10" fillId="33" borderId="62" xfId="0" applyNumberFormat="1" applyFont="1" applyFill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10" fillId="0" borderId="78" xfId="0" applyNumberFormat="1" applyFont="1" applyBorder="1" applyAlignment="1">
      <alignment vertical="center"/>
    </xf>
    <xf numFmtId="3" fontId="10" fillId="33" borderId="79" xfId="0" applyNumberFormat="1" applyFont="1" applyFill="1" applyBorder="1" applyAlignment="1">
      <alignment vertical="center"/>
    </xf>
    <xf numFmtId="0" fontId="44" fillId="0" borderId="0" xfId="59" applyFont="1">
      <alignment/>
      <protection/>
    </xf>
    <xf numFmtId="0" fontId="17" fillId="0" borderId="0" xfId="59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0" fillId="0" borderId="0" xfId="59" applyFont="1" applyAlignment="1">
      <alignment horizontal="right" vertical="center"/>
      <protection/>
    </xf>
    <xf numFmtId="0" fontId="4" fillId="0" borderId="0" xfId="59" applyFont="1" applyAlignment="1">
      <alignment horizontal="right" vertical="center"/>
      <protection/>
    </xf>
    <xf numFmtId="0" fontId="15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3" fontId="7" fillId="0" borderId="10" xfId="59" applyNumberFormat="1" applyFont="1" applyBorder="1" applyAlignment="1">
      <alignment horizontal="center" vertical="center"/>
      <protection/>
    </xf>
    <xf numFmtId="0" fontId="13" fillId="33" borderId="49" xfId="59" applyFont="1" applyFill="1" applyBorder="1">
      <alignment/>
      <protection/>
    </xf>
    <xf numFmtId="0" fontId="13" fillId="33" borderId="42" xfId="59" applyFont="1" applyFill="1" applyBorder="1">
      <alignment/>
      <protection/>
    </xf>
    <xf numFmtId="3" fontId="13" fillId="33" borderId="70" xfId="59" applyNumberFormat="1" applyFont="1" applyFill="1" applyBorder="1" applyAlignment="1">
      <alignment horizontal="center" wrapText="1"/>
      <protection/>
    </xf>
    <xf numFmtId="49" fontId="7" fillId="0" borderId="15" xfId="59" applyNumberFormat="1" applyFont="1" applyBorder="1" applyAlignment="1">
      <alignment horizontal="center" vertical="center"/>
      <protection/>
    </xf>
    <xf numFmtId="0" fontId="7" fillId="0" borderId="63" xfId="59" applyFont="1" applyFill="1" applyBorder="1">
      <alignment/>
      <protection/>
    </xf>
    <xf numFmtId="0" fontId="13" fillId="0" borderId="64" xfId="59" applyFont="1" applyFill="1" applyBorder="1">
      <alignment/>
      <protection/>
    </xf>
    <xf numFmtId="3" fontId="7" fillId="0" borderId="65" xfId="59" applyNumberFormat="1" applyFont="1" applyFill="1" applyBorder="1" applyAlignment="1">
      <alignment horizontal="right"/>
      <protection/>
    </xf>
    <xf numFmtId="0" fontId="7" fillId="0" borderId="66" xfId="59" applyFont="1" applyFill="1" applyBorder="1">
      <alignment/>
      <protection/>
    </xf>
    <xf numFmtId="0" fontId="13" fillId="0" borderId="67" xfId="59" applyFont="1" applyFill="1" applyBorder="1">
      <alignment/>
      <protection/>
    </xf>
    <xf numFmtId="3" fontId="7" fillId="0" borderId="68" xfId="59" applyNumberFormat="1" applyFont="1" applyFill="1" applyBorder="1" applyAlignment="1">
      <alignment horizontal="right"/>
      <protection/>
    </xf>
    <xf numFmtId="3" fontId="7" fillId="0" borderId="67" xfId="59" applyNumberFormat="1" applyFont="1" applyFill="1" applyBorder="1">
      <alignment/>
      <protection/>
    </xf>
    <xf numFmtId="0" fontId="7" fillId="0" borderId="66" xfId="59" applyFont="1" applyBorder="1">
      <alignment/>
      <protection/>
    </xf>
    <xf numFmtId="3" fontId="7" fillId="0" borderId="67" xfId="59" applyNumberFormat="1" applyFont="1" applyBorder="1">
      <alignment/>
      <protection/>
    </xf>
    <xf numFmtId="3" fontId="7" fillId="0" borderId="68" xfId="59" applyNumberFormat="1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58" xfId="59" applyFont="1" applyBorder="1">
      <alignment/>
      <protection/>
    </xf>
    <xf numFmtId="3" fontId="7" fillId="0" borderId="83" xfId="59" applyNumberFormat="1" applyFont="1" applyBorder="1">
      <alignment/>
      <protection/>
    </xf>
    <xf numFmtId="3" fontId="7" fillId="0" borderId="59" xfId="59" applyNumberFormat="1" applyFont="1" applyBorder="1">
      <alignment/>
      <protection/>
    </xf>
    <xf numFmtId="3" fontId="13" fillId="33" borderId="42" xfId="59" applyNumberFormat="1" applyFont="1" applyFill="1" applyBorder="1">
      <alignment/>
      <protection/>
    </xf>
    <xf numFmtId="3" fontId="13" fillId="33" borderId="70" xfId="59" applyNumberFormat="1" applyFont="1" applyFill="1" applyBorder="1">
      <alignment/>
      <protection/>
    </xf>
    <xf numFmtId="0" fontId="13" fillId="0" borderId="0" xfId="59" applyFont="1" applyBorder="1" applyAlignment="1">
      <alignment horizontal="center" vertical="center"/>
      <protection/>
    </xf>
    <xf numFmtId="0" fontId="7" fillId="0" borderId="0" xfId="59" applyFont="1" applyBorder="1">
      <alignment/>
      <protection/>
    </xf>
    <xf numFmtId="3" fontId="7" fillId="0" borderId="0" xfId="59" applyNumberFormat="1" applyFont="1" applyBorder="1">
      <alignment/>
      <protection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/>
    </xf>
    <xf numFmtId="3" fontId="7" fillId="0" borderId="24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/>
    </xf>
    <xf numFmtId="0" fontId="7" fillId="33" borderId="84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3" fillId="0" borderId="85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0" fontId="27" fillId="33" borderId="56" xfId="0" applyFont="1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49" fontId="23" fillId="0" borderId="15" xfId="0" applyNumberFormat="1" applyFont="1" applyBorder="1" applyAlignment="1">
      <alignment horizontal="center" vertical="center"/>
    </xf>
    <xf numFmtId="0" fontId="23" fillId="0" borderId="86" xfId="0" applyFont="1" applyFill="1" applyBorder="1" applyAlignment="1">
      <alignment horizontal="center"/>
    </xf>
    <xf numFmtId="0" fontId="23" fillId="0" borderId="87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right" vertical="center"/>
    </xf>
    <xf numFmtId="3" fontId="23" fillId="0" borderId="21" xfId="0" applyNumberFormat="1" applyFont="1" applyFill="1" applyBorder="1" applyAlignment="1">
      <alignment horizontal="right" vertical="center"/>
    </xf>
    <xf numFmtId="49" fontId="23" fillId="0" borderId="88" xfId="0" applyNumberFormat="1" applyFont="1" applyBorder="1" applyAlignment="1">
      <alignment horizontal="center"/>
    </xf>
    <xf numFmtId="0" fontId="23" fillId="0" borderId="85" xfId="0" applyFont="1" applyBorder="1" applyAlignment="1">
      <alignment/>
    </xf>
    <xf numFmtId="0" fontId="23" fillId="0" borderId="28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48" xfId="0" applyNumberFormat="1" applyFont="1" applyBorder="1" applyAlignment="1">
      <alignment/>
    </xf>
    <xf numFmtId="0" fontId="27" fillId="33" borderId="49" xfId="0" applyFont="1" applyFill="1" applyBorder="1" applyAlignment="1">
      <alignment/>
    </xf>
    <xf numFmtId="0" fontId="27" fillId="33" borderId="84" xfId="0" applyFont="1" applyFill="1" applyBorder="1" applyAlignment="1">
      <alignment/>
    </xf>
    <xf numFmtId="0" fontId="27" fillId="33" borderId="42" xfId="0" applyFont="1" applyFill="1" applyBorder="1" applyAlignment="1">
      <alignment/>
    </xf>
    <xf numFmtId="3" fontId="27" fillId="33" borderId="70" xfId="0" applyNumberFormat="1" applyFont="1" applyFill="1" applyBorder="1" applyAlignment="1">
      <alignment/>
    </xf>
    <xf numFmtId="49" fontId="7" fillId="35" borderId="15" xfId="0" applyNumberFormat="1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166" fontId="7" fillId="35" borderId="26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24" xfId="0" applyFont="1" applyFill="1" applyBorder="1" applyAlignment="1">
      <alignment/>
    </xf>
    <xf numFmtId="3" fontId="7" fillId="35" borderId="24" xfId="0" applyNumberFormat="1" applyFont="1" applyFill="1" applyBorder="1" applyAlignment="1">
      <alignment/>
    </xf>
    <xf numFmtId="3" fontId="65" fillId="0" borderId="52" xfId="0" applyNumberFormat="1" applyFont="1" applyBorder="1" applyAlignment="1">
      <alignment/>
    </xf>
    <xf numFmtId="3" fontId="65" fillId="0" borderId="24" xfId="0" applyNumberFormat="1" applyFont="1" applyBorder="1" applyAlignment="1">
      <alignment/>
    </xf>
    <xf numFmtId="3" fontId="66" fillId="34" borderId="24" xfId="0" applyNumberFormat="1" applyFont="1" applyFill="1" applyBorder="1" applyAlignment="1">
      <alignment/>
    </xf>
    <xf numFmtId="3" fontId="67" fillId="0" borderId="24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3" fontId="65" fillId="0" borderId="24" xfId="0" applyNumberFormat="1" applyFont="1" applyBorder="1" applyAlignment="1">
      <alignment horizontal="center"/>
    </xf>
    <xf numFmtId="3" fontId="65" fillId="34" borderId="24" xfId="0" applyNumberFormat="1" applyFont="1" applyFill="1" applyBorder="1" applyAlignment="1">
      <alignment horizontal="center" vertical="center" wrapText="1"/>
    </xf>
    <xf numFmtId="3" fontId="65" fillId="0" borderId="53" xfId="0" applyNumberFormat="1" applyFont="1" applyBorder="1" applyAlignment="1">
      <alignment/>
    </xf>
    <xf numFmtId="3" fontId="65" fillId="0" borderId="26" xfId="0" applyNumberFormat="1" applyFont="1" applyBorder="1" applyAlignment="1">
      <alignment/>
    </xf>
    <xf numFmtId="3" fontId="65" fillId="0" borderId="53" xfId="0" applyNumberFormat="1" applyFont="1" applyBorder="1" applyAlignment="1">
      <alignment horizontal="center"/>
    </xf>
    <xf numFmtId="3" fontId="65" fillId="0" borderId="26" xfId="0" applyNumberFormat="1" applyFont="1" applyBorder="1" applyAlignment="1">
      <alignment horizontal="center"/>
    </xf>
    <xf numFmtId="0" fontId="7" fillId="33" borderId="88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89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3" borderId="90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13" fillId="33" borderId="91" xfId="0" applyFont="1" applyFill="1" applyBorder="1" applyAlignment="1">
      <alignment horizontal="center"/>
    </xf>
    <xf numFmtId="0" fontId="13" fillId="33" borderId="92" xfId="0" applyFont="1" applyFill="1" applyBorder="1" applyAlignment="1">
      <alignment horizontal="center"/>
    </xf>
    <xf numFmtId="0" fontId="13" fillId="33" borderId="93" xfId="0" applyFont="1" applyFill="1" applyBorder="1" applyAlignment="1">
      <alignment horizontal="center"/>
    </xf>
    <xf numFmtId="0" fontId="13" fillId="33" borderId="94" xfId="0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3" fontId="13" fillId="34" borderId="53" xfId="0" applyNumberFormat="1" applyFont="1" applyFill="1" applyBorder="1" applyAlignment="1">
      <alignment horizontal="center" vertical="center"/>
    </xf>
    <xf numFmtId="3" fontId="13" fillId="34" borderId="26" xfId="0" applyNumberFormat="1" applyFont="1" applyFill="1" applyBorder="1" applyAlignment="1">
      <alignment horizontal="center" vertical="center"/>
    </xf>
    <xf numFmtId="3" fontId="13" fillId="34" borderId="23" xfId="0" applyNumberFormat="1" applyFont="1" applyFill="1" applyBorder="1" applyAlignment="1">
      <alignment horizontal="center" vertical="center"/>
    </xf>
    <xf numFmtId="3" fontId="13" fillId="34" borderId="53" xfId="0" applyNumberFormat="1" applyFont="1" applyFill="1" applyBorder="1" applyAlignment="1">
      <alignment horizontal="center" vertical="center" wrapText="1"/>
    </xf>
    <xf numFmtId="3" fontId="13" fillId="34" borderId="26" xfId="0" applyNumberFormat="1" applyFont="1" applyFill="1" applyBorder="1" applyAlignment="1">
      <alignment horizontal="center" vertical="center" wrapText="1"/>
    </xf>
    <xf numFmtId="3" fontId="13" fillId="34" borderId="2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3" fillId="34" borderId="24" xfId="0" applyFont="1" applyFill="1" applyBorder="1" applyAlignment="1">
      <alignment horizontal="center" vertical="center"/>
    </xf>
    <xf numFmtId="3" fontId="13" fillId="34" borderId="24" xfId="0" applyNumberFormat="1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7" fillId="36" borderId="53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0" fontId="13" fillId="33" borderId="43" xfId="0" applyFont="1" applyFill="1" applyBorder="1" applyAlignment="1">
      <alignment horizontal="center"/>
    </xf>
    <xf numFmtId="0" fontId="13" fillId="33" borderId="97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13" fillId="34" borderId="84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59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10" fillId="0" borderId="0" xfId="59" applyFont="1" applyBorder="1" applyAlignment="1">
      <alignment horizontal="left"/>
      <protection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85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7" fillId="33" borderId="43" xfId="0" applyFont="1" applyFill="1" applyBorder="1" applyAlignment="1">
      <alignment horizontal="center" vertical="center"/>
    </xf>
    <xf numFmtId="0" fontId="27" fillId="33" borderId="97" xfId="0" applyFont="1" applyFill="1" applyBorder="1" applyAlignment="1">
      <alignment horizontal="center" vertical="center"/>
    </xf>
    <xf numFmtId="0" fontId="27" fillId="33" borderId="75" xfId="0" applyFont="1" applyFill="1" applyBorder="1" applyAlignment="1">
      <alignment horizontal="center" vertical="center"/>
    </xf>
    <xf numFmtId="0" fontId="27" fillId="33" borderId="77" xfId="0" applyFont="1" applyFill="1" applyBorder="1" applyAlignment="1">
      <alignment horizontal="center" vertical="center"/>
    </xf>
    <xf numFmtId="3" fontId="27" fillId="33" borderId="56" xfId="0" applyNumberFormat="1" applyFont="1" applyFill="1" applyBorder="1" applyAlignment="1">
      <alignment horizontal="center" vertical="center"/>
    </xf>
    <xf numFmtId="3" fontId="27" fillId="33" borderId="57" xfId="0" applyNumberFormat="1" applyFont="1" applyFill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1"/>
  <sheetViews>
    <sheetView zoomScalePageLayoutView="0" workbookViewId="0" topLeftCell="B1">
      <selection activeCell="O14" sqref="O14"/>
    </sheetView>
  </sheetViews>
  <sheetFormatPr defaultColWidth="9.140625" defaultRowHeight="12.75"/>
  <cols>
    <col min="1" max="1" width="4.7109375" style="1" customWidth="1"/>
    <col min="2" max="2" width="1.7109375" style="2" customWidth="1"/>
    <col min="3" max="3" width="52.7109375" style="2" customWidth="1"/>
    <col min="4" max="4" width="11.28125" style="2" customWidth="1"/>
    <col min="5" max="5" width="12.140625" style="2" customWidth="1"/>
    <col min="6" max="6" width="11.8515625" style="3" customWidth="1"/>
    <col min="7" max="7" width="1.7109375" style="2" customWidth="1"/>
    <col min="8" max="8" width="50.00390625" style="2" customWidth="1"/>
    <col min="9" max="9" width="12.28125" style="2" customWidth="1"/>
    <col min="10" max="10" width="11.8515625" style="2" customWidth="1"/>
    <col min="11" max="11" width="12.8515625" style="3" customWidth="1"/>
    <col min="12" max="12" width="9.140625" style="2" customWidth="1"/>
    <col min="13" max="13" width="9.140625" style="2" hidden="1" customWidth="1"/>
    <col min="14" max="16384" width="9.140625" style="2" customWidth="1"/>
  </cols>
  <sheetData>
    <row r="1" ht="12.75">
      <c r="K1" s="4" t="s">
        <v>41</v>
      </c>
    </row>
    <row r="2" ht="12.75">
      <c r="K2" s="5" t="s">
        <v>373</v>
      </c>
    </row>
    <row r="3" ht="12.75">
      <c r="K3" s="6"/>
    </row>
    <row r="5" spans="2:11" ht="15.75">
      <c r="B5" s="326" t="s">
        <v>350</v>
      </c>
      <c r="C5" s="326"/>
      <c r="D5" s="326"/>
      <c r="E5" s="326"/>
      <c r="F5" s="326"/>
      <c r="G5" s="326"/>
      <c r="H5" s="326"/>
      <c r="I5" s="326"/>
      <c r="J5" s="326"/>
      <c r="K5" s="326"/>
    </row>
    <row r="6" spans="2:11" ht="15.75">
      <c r="B6" s="326" t="s">
        <v>3</v>
      </c>
      <c r="C6" s="326"/>
      <c r="D6" s="326"/>
      <c r="E6" s="326"/>
      <c r="F6" s="326"/>
      <c r="G6" s="326"/>
      <c r="H6" s="326"/>
      <c r="I6" s="326"/>
      <c r="J6" s="326"/>
      <c r="K6" s="326"/>
    </row>
    <row r="7" spans="2:11" ht="14.25">
      <c r="B7" s="327" t="s">
        <v>260</v>
      </c>
      <c r="C7" s="327"/>
      <c r="D7" s="327"/>
      <c r="E7" s="327"/>
      <c r="F7" s="327"/>
      <c r="G7" s="327"/>
      <c r="H7" s="327"/>
      <c r="I7" s="327"/>
      <c r="J7" s="327"/>
      <c r="K7" s="327"/>
    </row>
    <row r="8" ht="12.75">
      <c r="D8" s="3"/>
    </row>
    <row r="9" spans="4:5" ht="12.75">
      <c r="D9" s="3"/>
      <c r="E9" s="3"/>
    </row>
    <row r="10" spans="2:11" s="1" customFormat="1" ht="19.5" customHeight="1" thickBot="1">
      <c r="B10" s="324" t="s">
        <v>22</v>
      </c>
      <c r="C10" s="324"/>
      <c r="D10" s="8" t="s">
        <v>23</v>
      </c>
      <c r="E10" s="8" t="s">
        <v>24</v>
      </c>
      <c r="F10" s="9" t="s">
        <v>25</v>
      </c>
      <c r="G10" s="325" t="s">
        <v>26</v>
      </c>
      <c r="H10" s="324"/>
      <c r="I10" s="8" t="s">
        <v>27</v>
      </c>
      <c r="J10" s="8" t="s">
        <v>28</v>
      </c>
      <c r="K10" s="9" t="s">
        <v>33</v>
      </c>
    </row>
    <row r="11" spans="2:11" ht="15" customHeight="1" thickTop="1">
      <c r="B11" s="328" t="s">
        <v>1</v>
      </c>
      <c r="C11" s="329"/>
      <c r="D11" s="329"/>
      <c r="E11" s="329"/>
      <c r="F11" s="329"/>
      <c r="G11" s="330" t="s">
        <v>7</v>
      </c>
      <c r="H11" s="331"/>
      <c r="I11" s="332"/>
      <c r="J11" s="332"/>
      <c r="K11" s="333"/>
    </row>
    <row r="12" spans="2:11" ht="15" customHeight="1">
      <c r="B12" s="322" t="s">
        <v>4</v>
      </c>
      <c r="C12" s="323"/>
      <c r="D12" s="10" t="s">
        <v>286</v>
      </c>
      <c r="E12" s="10" t="s">
        <v>315</v>
      </c>
      <c r="F12" s="11" t="s">
        <v>351</v>
      </c>
      <c r="G12" s="322" t="s">
        <v>4</v>
      </c>
      <c r="H12" s="323"/>
      <c r="I12" s="10" t="s">
        <v>286</v>
      </c>
      <c r="J12" s="10" t="s">
        <v>315</v>
      </c>
      <c r="K12" s="11" t="s">
        <v>351</v>
      </c>
    </row>
    <row r="13" spans="2:11" ht="15" customHeight="1" thickBot="1">
      <c r="B13" s="320" t="s">
        <v>21</v>
      </c>
      <c r="C13" s="321"/>
      <c r="D13" s="12" t="s">
        <v>161</v>
      </c>
      <c r="E13" s="12" t="s">
        <v>316</v>
      </c>
      <c r="F13" s="13" t="s">
        <v>162</v>
      </c>
      <c r="G13" s="320" t="s">
        <v>21</v>
      </c>
      <c r="H13" s="321"/>
      <c r="I13" s="12" t="s">
        <v>161</v>
      </c>
      <c r="J13" s="12" t="s">
        <v>316</v>
      </c>
      <c r="K13" s="13" t="s">
        <v>162</v>
      </c>
    </row>
    <row r="14" spans="1:13" ht="15" customHeight="1" thickTop="1">
      <c r="A14" s="14" t="s">
        <v>75</v>
      </c>
      <c r="B14" s="15" t="s">
        <v>186</v>
      </c>
      <c r="C14" s="16"/>
      <c r="D14" s="16"/>
      <c r="E14" s="17"/>
      <c r="F14" s="18"/>
      <c r="G14" s="15" t="s">
        <v>209</v>
      </c>
      <c r="H14" s="19"/>
      <c r="I14" s="20"/>
      <c r="J14" s="20"/>
      <c r="K14" s="21"/>
      <c r="M14" s="3" t="e">
        <f>SUM(#REF!+#REF!)</f>
        <v>#REF!</v>
      </c>
    </row>
    <row r="15" spans="1:13" ht="15" customHeight="1">
      <c r="A15" s="14" t="s">
        <v>50</v>
      </c>
      <c r="B15" s="22"/>
      <c r="C15" s="23" t="s">
        <v>188</v>
      </c>
      <c r="D15" s="24">
        <v>115475670</v>
      </c>
      <c r="E15" s="25">
        <v>142377699</v>
      </c>
      <c r="F15" s="26">
        <f>Bevételek!N11</f>
        <v>117428439</v>
      </c>
      <c r="G15" s="22"/>
      <c r="H15" s="23" t="s">
        <v>210</v>
      </c>
      <c r="I15" s="25">
        <v>58863903</v>
      </c>
      <c r="J15" s="25">
        <f>40470099+19006477</f>
        <v>59476576</v>
      </c>
      <c r="K15" s="27">
        <f>Kiadások!N11</f>
        <v>61787704</v>
      </c>
      <c r="M15" s="3" t="e">
        <f>SUM(#REF!+#REF!)</f>
        <v>#REF!</v>
      </c>
    </row>
    <row r="16" spans="1:11" ht="15" customHeight="1">
      <c r="A16" s="14" t="s">
        <v>42</v>
      </c>
      <c r="B16" s="22"/>
      <c r="C16" s="23" t="s">
        <v>178</v>
      </c>
      <c r="D16" s="24">
        <v>8372443</v>
      </c>
      <c r="E16" s="25">
        <v>10541684</v>
      </c>
      <c r="F16" s="26">
        <f>Bevételek!N15</f>
        <v>8335000</v>
      </c>
      <c r="G16" s="22"/>
      <c r="H16" s="28" t="s">
        <v>237</v>
      </c>
      <c r="I16" s="25">
        <v>9300064</v>
      </c>
      <c r="J16" s="25">
        <f>3562615+5584765</f>
        <v>9147380</v>
      </c>
      <c r="K16" s="27">
        <f>Kiadások!N12</f>
        <v>9183466</v>
      </c>
    </row>
    <row r="17" spans="1:11" ht="15" customHeight="1">
      <c r="A17" s="14" t="s">
        <v>43</v>
      </c>
      <c r="B17" s="22"/>
      <c r="C17" s="23" t="s">
        <v>183</v>
      </c>
      <c r="D17" s="24">
        <v>27046947</v>
      </c>
      <c r="E17" s="25">
        <f>22144543+10667545</f>
        <v>32812088</v>
      </c>
      <c r="F17" s="26">
        <f>Bevételek!N21</f>
        <v>28706604</v>
      </c>
      <c r="G17" s="22"/>
      <c r="H17" s="28" t="s">
        <v>212</v>
      </c>
      <c r="I17" s="25">
        <v>71130198</v>
      </c>
      <c r="J17" s="25">
        <f>15779899+77644171</f>
        <v>93424070</v>
      </c>
      <c r="K17" s="27">
        <f>Kiadások!N13</f>
        <v>101258670</v>
      </c>
    </row>
    <row r="18" spans="1:14" ht="15" customHeight="1">
      <c r="A18" s="14" t="s">
        <v>44</v>
      </c>
      <c r="B18" s="22"/>
      <c r="C18" s="23" t="s">
        <v>184</v>
      </c>
      <c r="D18" s="24">
        <v>0</v>
      </c>
      <c r="E18" s="25">
        <v>0</v>
      </c>
      <c r="F18" s="26">
        <f>Bevételek!N22</f>
        <v>2318825</v>
      </c>
      <c r="G18" s="22"/>
      <c r="H18" s="28" t="s">
        <v>213</v>
      </c>
      <c r="I18" s="25">
        <v>789000</v>
      </c>
      <c r="J18" s="25">
        <v>1021110</v>
      </c>
      <c r="K18" s="27">
        <f>Kiadások!N14</f>
        <v>1644310</v>
      </c>
      <c r="N18" s="29"/>
    </row>
    <row r="19" spans="1:14" ht="15" customHeight="1" thickBot="1">
      <c r="A19" s="14" t="s">
        <v>29</v>
      </c>
      <c r="B19" s="30"/>
      <c r="C19" s="31" t="s">
        <v>196</v>
      </c>
      <c r="D19" s="32">
        <v>0</v>
      </c>
      <c r="E19" s="33">
        <v>0</v>
      </c>
      <c r="F19" s="34">
        <f>33512443-2427131-30</f>
        <v>31085282</v>
      </c>
      <c r="G19" s="22"/>
      <c r="H19" s="28" t="s">
        <v>214</v>
      </c>
      <c r="I19" s="25">
        <v>5534351</v>
      </c>
      <c r="J19" s="25">
        <v>20241314</v>
      </c>
      <c r="K19" s="27">
        <f>Kiadások!N15</f>
        <v>14000000</v>
      </c>
      <c r="N19" s="29"/>
    </row>
    <row r="20" spans="1:14" ht="15" customHeight="1" thickBot="1" thickTop="1">
      <c r="A20" s="14" t="s">
        <v>30</v>
      </c>
      <c r="B20" s="35" t="s">
        <v>233</v>
      </c>
      <c r="C20" s="36"/>
      <c r="D20" s="37">
        <f>SUM(D14:D19)</f>
        <v>150895060</v>
      </c>
      <c r="E20" s="37">
        <f>SUM(E14:E19)</f>
        <v>185731471</v>
      </c>
      <c r="F20" s="38">
        <f>SUM(F14:F19)</f>
        <v>187874150</v>
      </c>
      <c r="G20" s="35" t="s">
        <v>234</v>
      </c>
      <c r="H20" s="36"/>
      <c r="I20" s="37">
        <f>SUM(I15:I19)</f>
        <v>145617516</v>
      </c>
      <c r="J20" s="37">
        <f>SUM(J15:J19)</f>
        <v>183310450</v>
      </c>
      <c r="K20" s="39">
        <f>SUM(K15:K19)</f>
        <v>187874150</v>
      </c>
      <c r="M20" s="3" t="e">
        <f>SUM(K17+K18+#REF!+#REF!)</f>
        <v>#REF!</v>
      </c>
      <c r="N20" s="29"/>
    </row>
    <row r="21" spans="1:14" s="46" customFormat="1" ht="15" customHeight="1" thickTop="1">
      <c r="A21" s="14" t="s">
        <v>31</v>
      </c>
      <c r="B21" s="40" t="s">
        <v>187</v>
      </c>
      <c r="C21" s="41"/>
      <c r="D21" s="42"/>
      <c r="E21" s="42"/>
      <c r="F21" s="43"/>
      <c r="G21" s="40" t="s">
        <v>216</v>
      </c>
      <c r="H21" s="41"/>
      <c r="I21" s="44"/>
      <c r="J21" s="44"/>
      <c r="K21" s="45">
        <v>0</v>
      </c>
      <c r="M21" s="47"/>
      <c r="N21" s="48"/>
    </row>
    <row r="22" spans="1:14" ht="15" customHeight="1">
      <c r="A22" s="14" t="s">
        <v>32</v>
      </c>
      <c r="B22" s="22"/>
      <c r="C22" s="28" t="s">
        <v>189</v>
      </c>
      <c r="D22" s="25">
        <v>35377082</v>
      </c>
      <c r="E22" s="25">
        <v>41673549</v>
      </c>
      <c r="F22" s="26">
        <f>Bevételek!N25</f>
        <v>48500000</v>
      </c>
      <c r="G22" s="22"/>
      <c r="H22" s="28" t="s">
        <v>217</v>
      </c>
      <c r="I22" s="25">
        <v>43243254</v>
      </c>
      <c r="J22" s="25">
        <v>12365402</v>
      </c>
      <c r="K22" s="27">
        <f>Kiadások!N20</f>
        <v>34586824</v>
      </c>
      <c r="N22" s="29"/>
    </row>
    <row r="23" spans="1:14" ht="15" customHeight="1">
      <c r="A23" s="14" t="s">
        <v>8</v>
      </c>
      <c r="B23" s="22"/>
      <c r="C23" s="28" t="s">
        <v>190</v>
      </c>
      <c r="D23" s="25">
        <v>98207</v>
      </c>
      <c r="E23" s="25">
        <v>12316</v>
      </c>
      <c r="F23" s="26">
        <f>Bevételek!N26</f>
        <v>382041</v>
      </c>
      <c r="G23" s="22"/>
      <c r="H23" s="28" t="s">
        <v>218</v>
      </c>
      <c r="I23" s="25"/>
      <c r="J23" s="25">
        <v>16653256</v>
      </c>
      <c r="K23" s="27">
        <f>Kiadások!N21</f>
        <v>48000000</v>
      </c>
      <c r="N23" s="29"/>
    </row>
    <row r="24" spans="1:14" ht="15" customHeight="1" thickBot="1">
      <c r="A24" s="14" t="s">
        <v>9</v>
      </c>
      <c r="B24" s="49"/>
      <c r="C24" s="50" t="s">
        <v>247</v>
      </c>
      <c r="D24" s="32">
        <v>0</v>
      </c>
      <c r="E24" s="32">
        <v>0</v>
      </c>
      <c r="F24" s="51">
        <f>Bevételek!N27</f>
        <v>0</v>
      </c>
      <c r="G24" s="52"/>
      <c r="H24" s="28" t="s">
        <v>219</v>
      </c>
      <c r="I24" s="25">
        <v>0</v>
      </c>
      <c r="J24" s="25">
        <v>10001</v>
      </c>
      <c r="K24" s="27">
        <f>Kiadások!N22</f>
        <v>0</v>
      </c>
      <c r="N24" s="29"/>
    </row>
    <row r="25" spans="1:14" ht="15" customHeight="1" thickBot="1" thickTop="1">
      <c r="A25" s="14" t="s">
        <v>10</v>
      </c>
      <c r="B25" s="35" t="s">
        <v>235</v>
      </c>
      <c r="C25" s="36"/>
      <c r="D25" s="37">
        <f>SUM(D22:D24)</f>
        <v>35475289</v>
      </c>
      <c r="E25" s="37">
        <f>SUM(E22:E24)</f>
        <v>41685865</v>
      </c>
      <c r="F25" s="38">
        <f>SUM(F22:F24)</f>
        <v>48882041</v>
      </c>
      <c r="G25" s="35" t="s">
        <v>236</v>
      </c>
      <c r="H25" s="36"/>
      <c r="I25" s="37">
        <f>SUM(I22:I24)</f>
        <v>43243254</v>
      </c>
      <c r="J25" s="37">
        <f>SUM(J22:J24)</f>
        <v>29028659</v>
      </c>
      <c r="K25" s="39">
        <f>SUM(K22:K24)</f>
        <v>82586824</v>
      </c>
      <c r="N25" s="29"/>
    </row>
    <row r="26" spans="1:14" ht="15" customHeight="1" thickBot="1" thickTop="1">
      <c r="A26" s="14" t="s">
        <v>11</v>
      </c>
      <c r="B26" s="35" t="s">
        <v>12</v>
      </c>
      <c r="C26" s="36"/>
      <c r="D26" s="37">
        <f>D25+D20</f>
        <v>186370349</v>
      </c>
      <c r="E26" s="37">
        <f>E25+E20</f>
        <v>227417336</v>
      </c>
      <c r="F26" s="38">
        <f>F25+F20</f>
        <v>236756191</v>
      </c>
      <c r="G26" s="35" t="s">
        <v>13</v>
      </c>
      <c r="H26" s="36"/>
      <c r="I26" s="53">
        <f>I25+I20</f>
        <v>188860770</v>
      </c>
      <c r="J26" s="37">
        <f>J25+J20</f>
        <v>212339109</v>
      </c>
      <c r="K26" s="54">
        <f>K25+K20</f>
        <v>270460974</v>
      </c>
      <c r="N26" s="29"/>
    </row>
    <row r="27" spans="1:14" ht="15" customHeight="1" thickBot="1" thickTop="1">
      <c r="A27" s="14" t="s">
        <v>45</v>
      </c>
      <c r="B27" s="35" t="s">
        <v>14</v>
      </c>
      <c r="C27" s="36"/>
      <c r="D27" s="37">
        <v>0</v>
      </c>
      <c r="E27" s="37">
        <v>0</v>
      </c>
      <c r="F27" s="38">
        <f>K26-F26</f>
        <v>33704783</v>
      </c>
      <c r="G27" s="35" t="s">
        <v>15</v>
      </c>
      <c r="H27" s="36"/>
      <c r="I27" s="37">
        <f>D26-I26</f>
        <v>-2490421</v>
      </c>
      <c r="J27" s="37">
        <f>E26-J26</f>
        <v>15078227</v>
      </c>
      <c r="K27" s="37">
        <v>0</v>
      </c>
      <c r="N27" s="3"/>
    </row>
    <row r="28" spans="1:15" ht="15" customHeight="1" thickBot="1" thickTop="1">
      <c r="A28" s="14" t="s">
        <v>46</v>
      </c>
      <c r="B28" s="55" t="s">
        <v>76</v>
      </c>
      <c r="C28" s="56"/>
      <c r="D28" s="57">
        <v>0</v>
      </c>
      <c r="E28" s="57">
        <v>0</v>
      </c>
      <c r="F28" s="58">
        <v>0</v>
      </c>
      <c r="G28" s="55" t="s">
        <v>120</v>
      </c>
      <c r="H28" s="56"/>
      <c r="I28" s="57">
        <v>0</v>
      </c>
      <c r="J28" s="57">
        <f>E20-J20</f>
        <v>2421021</v>
      </c>
      <c r="K28" s="57">
        <f>F20-K20</f>
        <v>0</v>
      </c>
      <c r="L28" s="3"/>
      <c r="N28" s="3"/>
      <c r="O28" s="3"/>
    </row>
    <row r="29" spans="1:14" ht="15" customHeight="1" thickBot="1" thickTop="1">
      <c r="A29" s="14" t="s">
        <v>47</v>
      </c>
      <c r="B29" s="55" t="s">
        <v>77</v>
      </c>
      <c r="C29" s="56"/>
      <c r="D29" s="57">
        <v>0</v>
      </c>
      <c r="E29" s="57">
        <v>0</v>
      </c>
      <c r="F29" s="58">
        <f>K25-F25</f>
        <v>33704783</v>
      </c>
      <c r="G29" s="55" t="s">
        <v>121</v>
      </c>
      <c r="H29" s="56"/>
      <c r="I29" s="57">
        <f>D25-I25</f>
        <v>-7767965</v>
      </c>
      <c r="J29" s="57">
        <f>E25-J25</f>
        <v>12657206</v>
      </c>
      <c r="K29" s="59">
        <v>0</v>
      </c>
      <c r="N29" s="3"/>
    </row>
    <row r="30" spans="1:14" ht="15" customHeight="1" thickTop="1">
      <c r="A30" s="14" t="s">
        <v>48</v>
      </c>
      <c r="B30" s="15" t="s">
        <v>199</v>
      </c>
      <c r="C30" s="60"/>
      <c r="D30" s="20"/>
      <c r="E30" s="20"/>
      <c r="F30" s="18"/>
      <c r="G30" s="15" t="s">
        <v>222</v>
      </c>
      <c r="H30" s="60"/>
      <c r="I30" s="20"/>
      <c r="J30" s="20"/>
      <c r="K30" s="21"/>
      <c r="M30" s="3" t="e">
        <f>SUM(#REF!)</f>
        <v>#REF!</v>
      </c>
      <c r="N30" s="3"/>
    </row>
    <row r="31" spans="1:14" ht="15" customHeight="1">
      <c r="A31" s="14" t="s">
        <v>49</v>
      </c>
      <c r="B31" s="22"/>
      <c r="C31" s="28" t="s">
        <v>195</v>
      </c>
      <c r="D31" s="25">
        <v>0</v>
      </c>
      <c r="E31" s="25">
        <v>0</v>
      </c>
      <c r="F31" s="26">
        <v>0</v>
      </c>
      <c r="G31" s="22"/>
      <c r="H31" s="28" t="s">
        <v>223</v>
      </c>
      <c r="I31" s="25">
        <v>0</v>
      </c>
      <c r="J31" s="25">
        <v>0</v>
      </c>
      <c r="K31" s="27">
        <v>0</v>
      </c>
      <c r="M31" s="3" t="e">
        <f>SUM(#REF!)</f>
        <v>#REF!</v>
      </c>
      <c r="N31" s="3"/>
    </row>
    <row r="32" spans="1:14" ht="15" customHeight="1">
      <c r="A32" s="14" t="s">
        <v>60</v>
      </c>
      <c r="B32" s="22"/>
      <c r="C32" s="28" t="s">
        <v>285</v>
      </c>
      <c r="D32" s="25">
        <v>0</v>
      </c>
      <c r="E32" s="25">
        <v>0</v>
      </c>
      <c r="F32" s="26">
        <v>0</v>
      </c>
      <c r="G32" s="22"/>
      <c r="H32" s="28" t="s">
        <v>283</v>
      </c>
      <c r="I32" s="25">
        <v>0</v>
      </c>
      <c r="J32" s="25">
        <v>0</v>
      </c>
      <c r="K32" s="27">
        <v>0</v>
      </c>
      <c r="N32" s="3"/>
    </row>
    <row r="33" spans="1:14" ht="15" customHeight="1">
      <c r="A33" s="14" t="s">
        <v>61</v>
      </c>
      <c r="B33" s="22"/>
      <c r="C33" s="28" t="s">
        <v>261</v>
      </c>
      <c r="D33" s="25">
        <v>0</v>
      </c>
      <c r="E33" s="25">
        <v>0</v>
      </c>
      <c r="F33" s="26">
        <v>0</v>
      </c>
      <c r="G33" s="22"/>
      <c r="H33" s="28" t="s">
        <v>271</v>
      </c>
      <c r="I33" s="25">
        <v>0</v>
      </c>
      <c r="J33" s="25">
        <v>0</v>
      </c>
      <c r="K33" s="27">
        <v>0</v>
      </c>
      <c r="N33" s="3"/>
    </row>
    <row r="34" spans="1:14" ht="15" customHeight="1">
      <c r="A34" s="14" t="s">
        <v>62</v>
      </c>
      <c r="B34" s="22"/>
      <c r="C34" s="28" t="s">
        <v>238</v>
      </c>
      <c r="D34" s="25">
        <v>50306371</v>
      </c>
      <c r="E34" s="25">
        <v>46950936</v>
      </c>
      <c r="F34" s="25">
        <f>33704783-296543</f>
        <v>33408240</v>
      </c>
      <c r="G34" s="22"/>
      <c r="H34" s="28" t="s">
        <v>353</v>
      </c>
      <c r="I34" s="25">
        <v>0</v>
      </c>
      <c r="J34" s="25">
        <v>0</v>
      </c>
      <c r="K34" s="27">
        <v>0</v>
      </c>
      <c r="N34" s="3"/>
    </row>
    <row r="35" spans="1:14" ht="15" customHeight="1">
      <c r="A35" s="14" t="s">
        <v>63</v>
      </c>
      <c r="B35" s="22"/>
      <c r="C35" s="28" t="s">
        <v>270</v>
      </c>
      <c r="D35" s="25">
        <v>3477195</v>
      </c>
      <c r="E35" s="25">
        <v>2019094</v>
      </c>
      <c r="F35" s="26">
        <f>Bevételek!N37</f>
        <v>3906375</v>
      </c>
      <c r="G35" s="22"/>
      <c r="H35" s="28" t="s">
        <v>273</v>
      </c>
      <c r="I35" s="25">
        <v>3525447</v>
      </c>
      <c r="J35" s="25">
        <v>1764217</v>
      </c>
      <c r="K35" s="27">
        <f>Kiadások!N30</f>
        <v>3609832</v>
      </c>
      <c r="M35" s="3">
        <f>SUM(K22:K23)</f>
        <v>82586824</v>
      </c>
      <c r="N35" s="3"/>
    </row>
    <row r="36" spans="1:11" ht="15" customHeight="1" thickBot="1">
      <c r="A36" s="14" t="s">
        <v>64</v>
      </c>
      <c r="B36" s="49"/>
      <c r="C36" s="50"/>
      <c r="D36" s="32"/>
      <c r="E36" s="32"/>
      <c r="F36" s="51"/>
      <c r="G36" s="52"/>
      <c r="H36" s="61"/>
      <c r="I36" s="62"/>
      <c r="J36" s="62"/>
      <c r="K36" s="63"/>
    </row>
    <row r="37" spans="1:11" ht="15" customHeight="1" thickBot="1" thickTop="1">
      <c r="A37" s="14" t="s">
        <v>65</v>
      </c>
      <c r="B37" s="35" t="s">
        <v>16</v>
      </c>
      <c r="C37" s="36"/>
      <c r="D37" s="37">
        <f>SUM(D30:D36)</f>
        <v>53783566</v>
      </c>
      <c r="E37" s="37">
        <f>SUM(E30:E35)</f>
        <v>48970030</v>
      </c>
      <c r="F37" s="38">
        <f>SUM(F30:F36)</f>
        <v>37314615</v>
      </c>
      <c r="G37" s="49"/>
      <c r="H37" s="50"/>
      <c r="I37" s="32"/>
      <c r="J37" s="32"/>
      <c r="K37" s="64"/>
    </row>
    <row r="38" spans="1:11" ht="15" customHeight="1" thickBot="1" thickTop="1">
      <c r="A38" s="14" t="s">
        <v>66</v>
      </c>
      <c r="B38" s="35" t="s">
        <v>18</v>
      </c>
      <c r="C38" s="36"/>
      <c r="D38" s="37">
        <f>D37-I38</f>
        <v>50258119</v>
      </c>
      <c r="E38" s="37">
        <f>E37-J38</f>
        <v>47205813</v>
      </c>
      <c r="F38" s="38">
        <f>F37-K38</f>
        <v>33704783</v>
      </c>
      <c r="G38" s="65" t="s">
        <v>17</v>
      </c>
      <c r="H38" s="66"/>
      <c r="I38" s="37">
        <f>SUM(I30:I37)</f>
        <v>3525447</v>
      </c>
      <c r="J38" s="37">
        <f>SUM(J30:J37)</f>
        <v>1764217</v>
      </c>
      <c r="K38" s="39">
        <f>SUM(K30:K37)</f>
        <v>3609832</v>
      </c>
    </row>
    <row r="39" spans="1:11" ht="15" customHeight="1" thickBot="1" thickTop="1">
      <c r="A39" s="14" t="s">
        <v>67</v>
      </c>
      <c r="B39" s="35" t="s">
        <v>19</v>
      </c>
      <c r="C39" s="36"/>
      <c r="D39" s="37">
        <f>SUM(D37+D26)</f>
        <v>240153915</v>
      </c>
      <c r="E39" s="37">
        <f>SUM(E37+E26)</f>
        <v>276387366</v>
      </c>
      <c r="F39" s="38">
        <f>F37+F26</f>
        <v>274070806</v>
      </c>
      <c r="G39" s="35" t="s">
        <v>20</v>
      </c>
      <c r="H39" s="36"/>
      <c r="I39" s="37">
        <f>SUM(I38+I26)</f>
        <v>192386217</v>
      </c>
      <c r="J39" s="37">
        <f>SUM(J38+J26)</f>
        <v>214103326</v>
      </c>
      <c r="K39" s="39">
        <f>K38+K26</f>
        <v>274070806</v>
      </c>
    </row>
    <row r="40" ht="15" customHeight="1" thickTop="1"/>
    <row r="41" ht="15" customHeight="1">
      <c r="E41" s="3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 hidden="1"/>
    <row r="50" ht="15" customHeight="1" hidden="1"/>
    <row r="51" ht="15" customHeight="1" hidden="1"/>
    <row r="52" ht="15" customHeight="1" hidden="1"/>
    <row r="53" ht="15" customHeight="1" hidden="1" thickTop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</sheetData>
  <sheetProtection/>
  <mergeCells count="11">
    <mergeCell ref="B5:K5"/>
    <mergeCell ref="B6:K6"/>
    <mergeCell ref="B7:K7"/>
    <mergeCell ref="B11:F11"/>
    <mergeCell ref="G11:K11"/>
    <mergeCell ref="B13:C13"/>
    <mergeCell ref="G13:H13"/>
    <mergeCell ref="B12:C12"/>
    <mergeCell ref="G12:H12"/>
    <mergeCell ref="B10:C10"/>
    <mergeCell ref="G10:H10"/>
  </mergeCells>
  <printOptions horizontalCentered="1" verticalCentered="1"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24"/>
  <sheetViews>
    <sheetView zoomScalePageLayoutView="0" workbookViewId="0" topLeftCell="A4">
      <selection activeCell="I15" sqref="I15"/>
    </sheetView>
  </sheetViews>
  <sheetFormatPr defaultColWidth="9.140625" defaultRowHeight="12.75"/>
  <cols>
    <col min="1" max="1" width="5.7109375" style="237" customWidth="1"/>
    <col min="2" max="2" width="70.7109375" style="237" customWidth="1"/>
    <col min="3" max="4" width="12.7109375" style="237" customWidth="1"/>
    <col min="5" max="16384" width="9.140625" style="237" customWidth="1"/>
  </cols>
  <sheetData>
    <row r="1" spans="1:4" ht="15">
      <c r="A1" s="235"/>
      <c r="B1" s="235"/>
      <c r="C1" s="235"/>
      <c r="D1" s="236" t="s">
        <v>125</v>
      </c>
    </row>
    <row r="2" spans="1:4" ht="15">
      <c r="A2" s="235"/>
      <c r="B2" s="235"/>
      <c r="C2" s="235"/>
      <c r="D2" s="238" t="s">
        <v>373</v>
      </c>
    </row>
    <row r="3" spans="1:4" ht="15">
      <c r="A3" s="235"/>
      <c r="B3" s="235"/>
      <c r="C3" s="235"/>
      <c r="D3" s="239"/>
    </row>
    <row r="5" spans="1:4" ht="15.75">
      <c r="A5" s="235"/>
      <c r="B5" s="364" t="s">
        <v>338</v>
      </c>
      <c r="C5" s="364"/>
      <c r="D5" s="364"/>
    </row>
    <row r="6" spans="1:4" ht="15">
      <c r="A6" s="235"/>
      <c r="B6" s="365" t="s">
        <v>129</v>
      </c>
      <c r="C6" s="365"/>
      <c r="D6" s="365"/>
    </row>
    <row r="7" spans="1:4" ht="15">
      <c r="A7" s="235"/>
      <c r="B7" s="240"/>
      <c r="C7" s="240"/>
      <c r="D7" s="240"/>
    </row>
    <row r="8" spans="1:4" ht="13.5" thickBot="1">
      <c r="A8" s="241"/>
      <c r="B8" s="242" t="s">
        <v>22</v>
      </c>
      <c r="C8" s="242" t="s">
        <v>23</v>
      </c>
      <c r="D8" s="243" t="s">
        <v>24</v>
      </c>
    </row>
    <row r="9" spans="1:4" ht="16.5" thickBot="1" thickTop="1">
      <c r="A9" s="235"/>
      <c r="B9" s="244" t="s">
        <v>4</v>
      </c>
      <c r="C9" s="245"/>
      <c r="D9" s="246" t="s">
        <v>307</v>
      </c>
    </row>
    <row r="10" spans="1:4" ht="13.5" thickTop="1">
      <c r="A10" s="247" t="s">
        <v>75</v>
      </c>
      <c r="B10" s="248" t="s">
        <v>130</v>
      </c>
      <c r="C10" s="249"/>
      <c r="D10" s="250">
        <v>0</v>
      </c>
    </row>
    <row r="11" spans="1:4" ht="12.75">
      <c r="A11" s="247" t="s">
        <v>50</v>
      </c>
      <c r="B11" s="251" t="s">
        <v>131</v>
      </c>
      <c r="C11" s="252"/>
      <c r="D11" s="253">
        <v>0</v>
      </c>
    </row>
    <row r="12" spans="1:4" ht="12.75">
      <c r="A12" s="247" t="s">
        <v>42</v>
      </c>
      <c r="B12" s="251" t="s">
        <v>132</v>
      </c>
      <c r="C12" s="254"/>
      <c r="D12" s="253"/>
    </row>
    <row r="13" spans="1:4" ht="12.75">
      <c r="A13" s="247" t="s">
        <v>43</v>
      </c>
      <c r="B13" s="255" t="s">
        <v>133</v>
      </c>
      <c r="C13" s="256">
        <v>400000</v>
      </c>
      <c r="D13" s="257"/>
    </row>
    <row r="14" spans="1:4" ht="12.75">
      <c r="A14" s="247" t="s">
        <v>29</v>
      </c>
      <c r="B14" s="255" t="s">
        <v>134</v>
      </c>
      <c r="C14" s="256"/>
      <c r="D14" s="257"/>
    </row>
    <row r="15" spans="1:4" ht="12.75">
      <c r="A15" s="247" t="s">
        <v>31</v>
      </c>
      <c r="B15" s="255" t="s">
        <v>135</v>
      </c>
      <c r="C15" s="256"/>
      <c r="D15" s="257"/>
    </row>
    <row r="16" spans="1:4" ht="12.75">
      <c r="A16" s="247" t="s">
        <v>32</v>
      </c>
      <c r="B16" s="255" t="s">
        <v>136</v>
      </c>
      <c r="C16" s="256"/>
      <c r="D16" s="257">
        <f>SUM(C13:C15)</f>
        <v>400000</v>
      </c>
    </row>
    <row r="17" spans="1:5" ht="12.75">
      <c r="A17" s="247" t="s">
        <v>8</v>
      </c>
      <c r="B17" s="251" t="s">
        <v>137</v>
      </c>
      <c r="C17" s="254"/>
      <c r="D17" s="253">
        <v>0</v>
      </c>
      <c r="E17" s="258"/>
    </row>
    <row r="18" spans="1:5" ht="15.75" thickBot="1">
      <c r="A18" s="247" t="s">
        <v>9</v>
      </c>
      <c r="B18" s="259" t="s">
        <v>138</v>
      </c>
      <c r="C18" s="260"/>
      <c r="D18" s="261">
        <v>0</v>
      </c>
      <c r="E18" s="235"/>
    </row>
    <row r="19" spans="1:5" ht="16.5" thickBot="1" thickTop="1">
      <c r="A19" s="247" t="s">
        <v>10</v>
      </c>
      <c r="B19" s="244" t="s">
        <v>139</v>
      </c>
      <c r="C19" s="262"/>
      <c r="D19" s="263">
        <f>SUM(D10:D18)</f>
        <v>400000</v>
      </c>
      <c r="E19" s="235"/>
    </row>
    <row r="20" spans="1:5" ht="15.75" thickTop="1">
      <c r="A20" s="235"/>
      <c r="B20" s="235"/>
      <c r="C20" s="235"/>
      <c r="D20" s="235"/>
      <c r="E20" s="235"/>
    </row>
    <row r="21" spans="1:5" ht="15">
      <c r="A21" s="235"/>
      <c r="B21" s="366" t="s">
        <v>359</v>
      </c>
      <c r="C21" s="366"/>
      <c r="D21" s="366"/>
      <c r="E21" s="235"/>
    </row>
    <row r="22" spans="1:5" ht="15">
      <c r="A22" s="235"/>
      <c r="B22" s="235"/>
      <c r="C22" s="235"/>
      <c r="D22" s="235"/>
      <c r="E22" s="235"/>
    </row>
    <row r="23" spans="1:5" ht="12.75">
      <c r="A23" s="264"/>
      <c r="B23" s="265"/>
      <c r="C23" s="265"/>
      <c r="D23" s="266"/>
      <c r="E23" s="265"/>
    </row>
    <row r="24" spans="1:5" ht="15">
      <c r="A24" s="235"/>
      <c r="B24" s="235"/>
      <c r="C24" s="235"/>
      <c r="D24" s="235"/>
      <c r="E24" s="235"/>
    </row>
  </sheetData>
  <sheetProtection/>
  <mergeCells count="3">
    <mergeCell ref="B5:D5"/>
    <mergeCell ref="B6:D6"/>
    <mergeCell ref="B21:D2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.7109375" style="267" customWidth="1"/>
    <col min="2" max="2" width="42.8515625" style="129" hidden="1" customWidth="1"/>
    <col min="3" max="3" width="77.7109375" style="129" customWidth="1"/>
    <col min="4" max="4" width="16.28125" style="129" customWidth="1"/>
    <col min="5" max="16384" width="9.140625" style="129" customWidth="1"/>
  </cols>
  <sheetData>
    <row r="1" ht="12.75">
      <c r="D1" s="146" t="s">
        <v>126</v>
      </c>
    </row>
    <row r="2" spans="4:6" ht="12.75">
      <c r="D2" s="5" t="s">
        <v>373</v>
      </c>
      <c r="E2" s="148"/>
      <c r="F2" s="148"/>
    </row>
    <row r="5" spans="1:4" ht="15">
      <c r="A5" s="367" t="s">
        <v>342</v>
      </c>
      <c r="B5" s="367"/>
      <c r="C5" s="367"/>
      <c r="D5" s="367"/>
    </row>
    <row r="6" ht="4.5" customHeight="1"/>
    <row r="7" spans="1:4" ht="12.75">
      <c r="A7" s="368" t="s">
        <v>260</v>
      </c>
      <c r="B7" s="368"/>
      <c r="C7" s="368"/>
      <c r="D7" s="368"/>
    </row>
    <row r="10" spans="2:4" s="267" customFormat="1" ht="19.5" customHeight="1" thickBot="1">
      <c r="B10" s="8" t="s">
        <v>23</v>
      </c>
      <c r="C10" s="8" t="s">
        <v>22</v>
      </c>
      <c r="D10" s="8" t="s">
        <v>23</v>
      </c>
    </row>
    <row r="11" spans="1:4" s="270" customFormat="1" ht="13.5" thickTop="1">
      <c r="A11" s="268"/>
      <c r="B11" s="269"/>
      <c r="C11" s="369" t="s">
        <v>140</v>
      </c>
      <c r="D11" s="369"/>
    </row>
    <row r="12" spans="1:4" s="272" customFormat="1" ht="13.5" thickBot="1">
      <c r="A12" s="268"/>
      <c r="B12" s="271" t="s">
        <v>2</v>
      </c>
      <c r="C12" s="271" t="s">
        <v>2</v>
      </c>
      <c r="D12" s="271" t="s">
        <v>141</v>
      </c>
    </row>
    <row r="13" spans="1:4" ht="13.5" thickTop="1">
      <c r="A13" s="14" t="s">
        <v>75</v>
      </c>
      <c r="B13" s="273" t="s">
        <v>308</v>
      </c>
      <c r="C13" s="273" t="s">
        <v>309</v>
      </c>
      <c r="D13" s="21">
        <v>6000000</v>
      </c>
    </row>
    <row r="14" spans="1:4" ht="12.75">
      <c r="A14" s="14" t="s">
        <v>50</v>
      </c>
      <c r="B14" s="274"/>
      <c r="C14" s="81" t="s">
        <v>310</v>
      </c>
      <c r="D14" s="27">
        <v>500000</v>
      </c>
    </row>
    <row r="15" spans="1:4" ht="12.75">
      <c r="A15" s="14" t="s">
        <v>42</v>
      </c>
      <c r="B15" s="274"/>
      <c r="C15" s="81" t="s">
        <v>341</v>
      </c>
      <c r="D15" s="27">
        <v>120000</v>
      </c>
    </row>
    <row r="16" spans="1:4" ht="12.75">
      <c r="A16" s="14" t="s">
        <v>43</v>
      </c>
      <c r="B16" s="275"/>
      <c r="C16" s="129" t="s">
        <v>343</v>
      </c>
      <c r="D16" s="174">
        <v>2300000</v>
      </c>
    </row>
    <row r="17" spans="1:4" ht="13.5" thickBot="1">
      <c r="A17" s="14" t="s">
        <v>44</v>
      </c>
      <c r="B17" s="275"/>
      <c r="C17" s="129" t="s">
        <v>372</v>
      </c>
      <c r="D17" s="174">
        <v>3065700</v>
      </c>
    </row>
    <row r="18" spans="1:4" ht="14.25" thickBot="1" thickTop="1">
      <c r="A18" s="14" t="s">
        <v>29</v>
      </c>
      <c r="B18" s="276"/>
      <c r="C18" s="277"/>
      <c r="D18" s="176">
        <f>SUM(D13:D17)</f>
        <v>11985700</v>
      </c>
    </row>
    <row r="19" ht="13.5" thickTop="1"/>
    <row r="20" ht="12.75">
      <c r="D20" s="172"/>
    </row>
  </sheetData>
  <sheetProtection/>
  <mergeCells count="3">
    <mergeCell ref="A5:D5"/>
    <mergeCell ref="A7:D7"/>
    <mergeCell ref="C11:D1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6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4.421875" style="278" customWidth="1"/>
    <col min="2" max="2" width="12.7109375" style="278" customWidth="1"/>
    <col min="3" max="3" width="2.421875" style="278" customWidth="1"/>
    <col min="4" max="4" width="62.421875" style="278" customWidth="1"/>
    <col min="5" max="6" width="12.7109375" style="279" customWidth="1"/>
    <col min="7" max="16384" width="9.140625" style="278" customWidth="1"/>
  </cols>
  <sheetData>
    <row r="1" ht="12.75">
      <c r="F1" s="280" t="s">
        <v>326</v>
      </c>
    </row>
    <row r="2" ht="12.75">
      <c r="F2" s="281" t="s">
        <v>373</v>
      </c>
    </row>
    <row r="4" spans="2:6" ht="15.75">
      <c r="B4" s="370" t="s">
        <v>339</v>
      </c>
      <c r="C4" s="370"/>
      <c r="D4" s="370"/>
      <c r="E4" s="370"/>
      <c r="F4" s="370"/>
    </row>
    <row r="5" ht="4.5" customHeight="1"/>
    <row r="6" spans="2:6" ht="12.75">
      <c r="B6" s="371" t="s">
        <v>260</v>
      </c>
      <c r="C6" s="371"/>
      <c r="D6" s="371"/>
      <c r="E6" s="371"/>
      <c r="F6" s="371"/>
    </row>
    <row r="9" spans="2:6" ht="13.5" thickBot="1">
      <c r="B9" s="282" t="s">
        <v>22</v>
      </c>
      <c r="C9" s="372" t="s">
        <v>23</v>
      </c>
      <c r="D9" s="373"/>
      <c r="E9" s="283" t="s">
        <v>24</v>
      </c>
      <c r="F9" s="283" t="s">
        <v>25</v>
      </c>
    </row>
    <row r="10" spans="2:6" ht="13.5" thickTop="1">
      <c r="B10" s="284" t="s">
        <v>321</v>
      </c>
      <c r="C10" s="374" t="s">
        <v>322</v>
      </c>
      <c r="D10" s="375"/>
      <c r="E10" s="378" t="s">
        <v>323</v>
      </c>
      <c r="F10" s="378" t="s">
        <v>140</v>
      </c>
    </row>
    <row r="11" spans="2:6" ht="13.5" thickBot="1">
      <c r="B11" s="285" t="s">
        <v>324</v>
      </c>
      <c r="C11" s="376"/>
      <c r="D11" s="377"/>
      <c r="E11" s="379"/>
      <c r="F11" s="379"/>
    </row>
    <row r="12" spans="1:6" ht="14.25" thickBot="1" thickTop="1">
      <c r="A12" s="286" t="s">
        <v>75</v>
      </c>
      <c r="B12" s="287">
        <v>74031</v>
      </c>
      <c r="C12" s="288" t="s">
        <v>330</v>
      </c>
      <c r="D12" s="289"/>
      <c r="E12" s="290">
        <v>1499800</v>
      </c>
      <c r="F12" s="291">
        <v>2451455</v>
      </c>
    </row>
    <row r="13" spans="1:6" ht="13.5" hidden="1" thickBot="1">
      <c r="A13" s="286" t="s">
        <v>43</v>
      </c>
      <c r="B13" s="292" t="s">
        <v>312</v>
      </c>
      <c r="C13" s="293" t="s">
        <v>311</v>
      </c>
      <c r="D13" s="294"/>
      <c r="E13" s="295"/>
      <c r="F13" s="296"/>
    </row>
    <row r="14" spans="1:6" ht="14.25" thickBot="1" thickTop="1">
      <c r="A14" s="286" t="s">
        <v>50</v>
      </c>
      <c r="B14" s="297" t="s">
        <v>313</v>
      </c>
      <c r="C14" s="298"/>
      <c r="D14" s="299"/>
      <c r="E14" s="300">
        <f>SUM(E12:E13)</f>
        <v>1499800</v>
      </c>
      <c r="F14" s="300">
        <f>SUM(F12:F13)</f>
        <v>2451455</v>
      </c>
    </row>
    <row r="15" ht="13.5" thickTop="1"/>
    <row r="16" ht="12.75">
      <c r="B16" s="278" t="s">
        <v>325</v>
      </c>
    </row>
  </sheetData>
  <sheetProtection/>
  <mergeCells count="6">
    <mergeCell ref="B4:F4"/>
    <mergeCell ref="B6:F6"/>
    <mergeCell ref="C9:D9"/>
    <mergeCell ref="C10:D11"/>
    <mergeCell ref="E10:E11"/>
    <mergeCell ref="F10:F11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3"/>
  <sheetViews>
    <sheetView view="pageLayout" workbookViewId="0" topLeftCell="A1">
      <selection activeCell="N38" sqref="N38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7" width="14.7109375" style="3" customWidth="1"/>
    <col min="8" max="9" width="14.7109375" style="312" customWidth="1"/>
    <col min="10" max="10" width="14.7109375" style="3" customWidth="1"/>
    <col min="11" max="13" width="14.7109375" style="3" hidden="1" customWidth="1"/>
    <col min="14" max="16" width="14.7109375" style="3" customWidth="1"/>
    <col min="17" max="16384" width="9.140625" style="2" customWidth="1"/>
  </cols>
  <sheetData>
    <row r="1" ht="12.75">
      <c r="P1" s="4"/>
    </row>
    <row r="2" ht="12.75">
      <c r="P2" s="5"/>
    </row>
    <row r="3" spans="2:16" ht="15.75"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</row>
    <row r="4" spans="2:16" ht="12.75"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</row>
    <row r="5" spans="2:16" ht="12.75">
      <c r="B5" s="68"/>
      <c r="C5" s="68"/>
      <c r="D5" s="68"/>
      <c r="E5" s="69"/>
      <c r="F5" s="68"/>
      <c r="G5" s="68"/>
      <c r="H5" s="313"/>
      <c r="I5" s="313"/>
      <c r="J5" s="68"/>
      <c r="K5" s="68"/>
      <c r="L5" s="68"/>
      <c r="M5" s="68"/>
      <c r="N5" s="68"/>
      <c r="O5" s="68"/>
      <c r="P5" s="68"/>
    </row>
    <row r="7" spans="2:16" s="68" customFormat="1" ht="15" customHeight="1">
      <c r="B7" s="70" t="s">
        <v>22</v>
      </c>
      <c r="C7" s="345" t="s">
        <v>23</v>
      </c>
      <c r="D7" s="346"/>
      <c r="E7" s="72" t="s">
        <v>24</v>
      </c>
      <c r="F7" s="72" t="s">
        <v>25</v>
      </c>
      <c r="G7" s="72" t="s">
        <v>26</v>
      </c>
      <c r="H7" s="314" t="s">
        <v>27</v>
      </c>
      <c r="I7" s="314" t="s">
        <v>28</v>
      </c>
      <c r="J7" s="72" t="s">
        <v>33</v>
      </c>
      <c r="K7" s="72" t="s">
        <v>40</v>
      </c>
      <c r="L7" s="72" t="s">
        <v>72</v>
      </c>
      <c r="M7" s="72" t="s">
        <v>73</v>
      </c>
      <c r="N7" s="72" t="s">
        <v>34</v>
      </c>
      <c r="O7" s="72" t="s">
        <v>35</v>
      </c>
      <c r="P7" s="72" t="s">
        <v>38</v>
      </c>
    </row>
    <row r="8" spans="1:16" s="74" customFormat="1" ht="30" customHeight="1">
      <c r="A8" s="73"/>
      <c r="B8" s="334" t="s">
        <v>4</v>
      </c>
      <c r="C8" s="335"/>
      <c r="D8" s="336"/>
      <c r="E8" s="337" t="s">
        <v>331</v>
      </c>
      <c r="F8" s="338"/>
      <c r="G8" s="339"/>
      <c r="H8" s="337" t="s">
        <v>329</v>
      </c>
      <c r="I8" s="338"/>
      <c r="J8" s="339"/>
      <c r="K8" s="340" t="s">
        <v>206</v>
      </c>
      <c r="L8" s="341"/>
      <c r="M8" s="342"/>
      <c r="N8" s="340" t="s">
        <v>207</v>
      </c>
      <c r="O8" s="341"/>
      <c r="P8" s="342"/>
    </row>
    <row r="9" spans="1:16" ht="30" customHeight="1">
      <c r="A9" s="75"/>
      <c r="B9" s="334" t="s">
        <v>173</v>
      </c>
      <c r="C9" s="335"/>
      <c r="D9" s="336"/>
      <c r="E9" s="76" t="s">
        <v>332</v>
      </c>
      <c r="F9" s="76" t="s">
        <v>201</v>
      </c>
      <c r="G9" s="76" t="s">
        <v>202</v>
      </c>
      <c r="H9" s="315" t="s">
        <v>332</v>
      </c>
      <c r="I9" s="315" t="s">
        <v>201</v>
      </c>
      <c r="J9" s="76" t="s">
        <v>202</v>
      </c>
      <c r="K9" s="76" t="s">
        <v>205</v>
      </c>
      <c r="L9" s="76" t="s">
        <v>201</v>
      </c>
      <c r="M9" s="76" t="s">
        <v>202</v>
      </c>
      <c r="N9" s="76" t="s">
        <v>332</v>
      </c>
      <c r="O9" s="76" t="s">
        <v>201</v>
      </c>
      <c r="P9" s="76" t="s">
        <v>202</v>
      </c>
    </row>
    <row r="10" spans="1:16" ht="12.75">
      <c r="A10" s="77" t="s">
        <v>75</v>
      </c>
      <c r="B10" s="78" t="s">
        <v>192</v>
      </c>
      <c r="C10" s="79" t="s">
        <v>186</v>
      </c>
      <c r="D10" s="79"/>
      <c r="E10" s="308"/>
      <c r="F10" s="309"/>
      <c r="G10" s="309"/>
      <c r="H10" s="308"/>
      <c r="I10" s="309"/>
      <c r="J10" s="25"/>
      <c r="K10" s="80"/>
      <c r="L10" s="25"/>
      <c r="M10" s="25"/>
      <c r="N10" s="80"/>
      <c r="O10" s="25"/>
      <c r="P10" s="25"/>
    </row>
    <row r="11" spans="1:16" ht="12.75">
      <c r="A11" s="77" t="s">
        <v>50</v>
      </c>
      <c r="B11" s="23"/>
      <c r="C11" s="81" t="s">
        <v>188</v>
      </c>
      <c r="D11" s="81"/>
      <c r="E11" s="309">
        <v>117428439</v>
      </c>
      <c r="F11" s="309">
        <f>E11-G11</f>
        <v>115928639</v>
      </c>
      <c r="G11" s="309">
        <v>1499800</v>
      </c>
      <c r="H11" s="309"/>
      <c r="I11" s="309"/>
      <c r="J11" s="25"/>
      <c r="K11" s="25"/>
      <c r="L11" s="25"/>
      <c r="M11" s="25"/>
      <c r="N11" s="80">
        <f>H11+E11</f>
        <v>117428439</v>
      </c>
      <c r="O11" s="80">
        <f>I11+F11</f>
        <v>115928639</v>
      </c>
      <c r="P11" s="80">
        <f>J11+G11</f>
        <v>1499800</v>
      </c>
    </row>
    <row r="12" spans="1:16" ht="12.75">
      <c r="A12" s="77" t="s">
        <v>42</v>
      </c>
      <c r="B12" s="23"/>
      <c r="C12" s="82" t="s">
        <v>176</v>
      </c>
      <c r="D12" s="23" t="s">
        <v>264</v>
      </c>
      <c r="E12" s="309">
        <v>56510576</v>
      </c>
      <c r="F12" s="309">
        <v>56510576</v>
      </c>
      <c r="G12" s="309"/>
      <c r="H12" s="309"/>
      <c r="I12" s="309"/>
      <c r="J12" s="25"/>
      <c r="K12" s="25"/>
      <c r="L12" s="25"/>
      <c r="M12" s="25"/>
      <c r="N12" s="80">
        <f aca="true" t="shared" si="0" ref="N12:N22">H12+E12</f>
        <v>56510576</v>
      </c>
      <c r="O12" s="80">
        <f aca="true" t="shared" si="1" ref="O12:O22">I12+F12</f>
        <v>56510576</v>
      </c>
      <c r="P12" s="80">
        <f aca="true" t="shared" si="2" ref="P12:P22">J12+G12</f>
        <v>0</v>
      </c>
    </row>
    <row r="13" spans="1:16" ht="12.75">
      <c r="A13" s="77" t="s">
        <v>43</v>
      </c>
      <c r="B13" s="23"/>
      <c r="C13" s="83"/>
      <c r="D13" s="23" t="s">
        <v>265</v>
      </c>
      <c r="E13" s="309">
        <v>0</v>
      </c>
      <c r="F13" s="309">
        <f aca="true" t="shared" si="3" ref="F13:F22">E13</f>
        <v>0</v>
      </c>
      <c r="G13" s="309"/>
      <c r="H13" s="309"/>
      <c r="I13" s="309"/>
      <c r="J13" s="25"/>
      <c r="K13" s="25"/>
      <c r="L13" s="25"/>
      <c r="M13" s="25"/>
      <c r="N13" s="80">
        <f t="shared" si="0"/>
        <v>0</v>
      </c>
      <c r="O13" s="80">
        <f t="shared" si="1"/>
        <v>0</v>
      </c>
      <c r="P13" s="80">
        <f t="shared" si="2"/>
        <v>0</v>
      </c>
    </row>
    <row r="14" spans="1:16" ht="12.75">
      <c r="A14" s="77" t="s">
        <v>44</v>
      </c>
      <c r="B14" s="23"/>
      <c r="C14" s="83"/>
      <c r="D14" s="23" t="s">
        <v>177</v>
      </c>
      <c r="E14" s="309">
        <v>1499800</v>
      </c>
      <c r="F14" s="309"/>
      <c r="G14" s="309">
        <v>1499800</v>
      </c>
      <c r="H14" s="309"/>
      <c r="I14" s="309"/>
      <c r="J14" s="25"/>
      <c r="K14" s="25"/>
      <c r="L14" s="25"/>
      <c r="M14" s="25"/>
      <c r="N14" s="80">
        <f t="shared" si="0"/>
        <v>1499800</v>
      </c>
      <c r="O14" s="80">
        <f t="shared" si="1"/>
        <v>0</v>
      </c>
      <c r="P14" s="80">
        <f t="shared" si="2"/>
        <v>1499800</v>
      </c>
    </row>
    <row r="15" spans="1:16" ht="12.75">
      <c r="A15" s="77" t="s">
        <v>29</v>
      </c>
      <c r="B15" s="23"/>
      <c r="C15" s="81" t="s">
        <v>178</v>
      </c>
      <c r="D15" s="81"/>
      <c r="E15" s="309">
        <f>E17+E18+E19+E20</f>
        <v>8335000</v>
      </c>
      <c r="F15" s="309">
        <f>F17+F18+F19+F20</f>
        <v>8335000</v>
      </c>
      <c r="G15" s="309"/>
      <c r="H15" s="309"/>
      <c r="I15" s="309"/>
      <c r="J15" s="25"/>
      <c r="K15" s="25"/>
      <c r="L15" s="25"/>
      <c r="M15" s="25"/>
      <c r="N15" s="80">
        <f t="shared" si="0"/>
        <v>8335000</v>
      </c>
      <c r="O15" s="80">
        <f t="shared" si="1"/>
        <v>8335000</v>
      </c>
      <c r="P15" s="80">
        <f t="shared" si="2"/>
        <v>0</v>
      </c>
    </row>
    <row r="16" spans="1:16" ht="12.75">
      <c r="A16" s="77" t="s">
        <v>30</v>
      </c>
      <c r="B16" s="23"/>
      <c r="C16" s="82" t="s">
        <v>176</v>
      </c>
      <c r="D16" s="23" t="s">
        <v>179</v>
      </c>
      <c r="E16" s="309"/>
      <c r="F16" s="309">
        <f t="shared" si="3"/>
        <v>0</v>
      </c>
      <c r="G16" s="309"/>
      <c r="H16" s="309"/>
      <c r="I16" s="309"/>
      <c r="J16" s="25"/>
      <c r="K16" s="25"/>
      <c r="L16" s="25"/>
      <c r="M16" s="25"/>
      <c r="N16" s="80">
        <f t="shared" si="0"/>
        <v>0</v>
      </c>
      <c r="O16" s="80">
        <f t="shared" si="1"/>
        <v>0</v>
      </c>
      <c r="P16" s="80">
        <f t="shared" si="2"/>
        <v>0</v>
      </c>
    </row>
    <row r="17" spans="1:16" ht="12.75">
      <c r="A17" s="77" t="s">
        <v>31</v>
      </c>
      <c r="B17" s="23"/>
      <c r="C17" s="83"/>
      <c r="D17" s="23" t="s">
        <v>180</v>
      </c>
      <c r="E17" s="309">
        <v>1700000</v>
      </c>
      <c r="F17" s="309">
        <f t="shared" si="3"/>
        <v>1700000</v>
      </c>
      <c r="G17" s="309"/>
      <c r="H17" s="309"/>
      <c r="I17" s="309"/>
      <c r="J17" s="25"/>
      <c r="K17" s="25"/>
      <c r="L17" s="25"/>
      <c r="M17" s="25"/>
      <c r="N17" s="80">
        <f t="shared" si="0"/>
        <v>1700000</v>
      </c>
      <c r="O17" s="80">
        <f t="shared" si="1"/>
        <v>1700000</v>
      </c>
      <c r="P17" s="80">
        <f t="shared" si="2"/>
        <v>0</v>
      </c>
    </row>
    <row r="18" spans="1:16" ht="12.75">
      <c r="A18" s="77" t="s">
        <v>32</v>
      </c>
      <c r="B18" s="23"/>
      <c r="C18" s="83"/>
      <c r="D18" s="23" t="s">
        <v>181</v>
      </c>
      <c r="E18" s="309">
        <v>6500000</v>
      </c>
      <c r="F18" s="309">
        <f t="shared" si="3"/>
        <v>6500000</v>
      </c>
      <c r="G18" s="309"/>
      <c r="H18" s="309"/>
      <c r="I18" s="309"/>
      <c r="J18" s="25"/>
      <c r="K18" s="25"/>
      <c r="L18" s="25"/>
      <c r="M18" s="25"/>
      <c r="N18" s="80">
        <f t="shared" si="0"/>
        <v>6500000</v>
      </c>
      <c r="O18" s="80">
        <f t="shared" si="1"/>
        <v>6500000</v>
      </c>
      <c r="P18" s="80">
        <f t="shared" si="2"/>
        <v>0</v>
      </c>
    </row>
    <row r="19" spans="1:16" ht="12.75">
      <c r="A19" s="77" t="s">
        <v>8</v>
      </c>
      <c r="B19" s="23"/>
      <c r="C19" s="83"/>
      <c r="D19" s="23" t="s">
        <v>258</v>
      </c>
      <c r="E19" s="309">
        <v>100000</v>
      </c>
      <c r="F19" s="309">
        <v>100000</v>
      </c>
      <c r="G19" s="309"/>
      <c r="H19" s="309"/>
      <c r="I19" s="309"/>
      <c r="J19" s="25"/>
      <c r="K19" s="25"/>
      <c r="L19" s="25"/>
      <c r="M19" s="25"/>
      <c r="N19" s="80">
        <f t="shared" si="0"/>
        <v>100000</v>
      </c>
      <c r="O19" s="80">
        <f t="shared" si="1"/>
        <v>100000</v>
      </c>
      <c r="P19" s="80">
        <f t="shared" si="2"/>
        <v>0</v>
      </c>
    </row>
    <row r="20" spans="1:16" ht="12.75">
      <c r="A20" s="77" t="s">
        <v>9</v>
      </c>
      <c r="B20" s="23"/>
      <c r="C20" s="83"/>
      <c r="D20" s="23" t="s">
        <v>182</v>
      </c>
      <c r="E20" s="309">
        <v>35000</v>
      </c>
      <c r="F20" s="309">
        <v>35000</v>
      </c>
      <c r="G20" s="309"/>
      <c r="H20" s="309"/>
      <c r="I20" s="309"/>
      <c r="J20" s="25"/>
      <c r="K20" s="25"/>
      <c r="L20" s="25"/>
      <c r="M20" s="25"/>
      <c r="N20" s="80">
        <f t="shared" si="0"/>
        <v>35000</v>
      </c>
      <c r="O20" s="80">
        <f t="shared" si="1"/>
        <v>35000</v>
      </c>
      <c r="P20" s="80">
        <f t="shared" si="2"/>
        <v>0</v>
      </c>
    </row>
    <row r="21" spans="1:16" ht="12.75">
      <c r="A21" s="77" t="s">
        <v>10</v>
      </c>
      <c r="B21" s="23"/>
      <c r="C21" s="81" t="s">
        <v>183</v>
      </c>
      <c r="D21" s="81"/>
      <c r="E21" s="309">
        <v>20500000</v>
      </c>
      <c r="F21" s="309">
        <v>20500000</v>
      </c>
      <c r="G21" s="309"/>
      <c r="H21" s="309">
        <f>8597511-390907</f>
        <v>8206604</v>
      </c>
      <c r="I21" s="309">
        <v>8206604</v>
      </c>
      <c r="J21" s="25"/>
      <c r="K21" s="25"/>
      <c r="L21" s="25"/>
      <c r="M21" s="25"/>
      <c r="N21" s="80">
        <f>H21+E21</f>
        <v>28706604</v>
      </c>
      <c r="O21" s="80">
        <f t="shared" si="1"/>
        <v>28706604</v>
      </c>
      <c r="P21" s="80">
        <f t="shared" si="2"/>
        <v>0</v>
      </c>
    </row>
    <row r="22" spans="1:16" ht="12.75">
      <c r="A22" s="77" t="s">
        <v>11</v>
      </c>
      <c r="B22" s="23"/>
      <c r="C22" s="81" t="s">
        <v>184</v>
      </c>
      <c r="D22" s="81"/>
      <c r="E22" s="309">
        <v>2318825</v>
      </c>
      <c r="F22" s="309">
        <f t="shared" si="3"/>
        <v>2318825</v>
      </c>
      <c r="G22" s="309"/>
      <c r="H22" s="309"/>
      <c r="I22" s="309"/>
      <c r="J22" s="25"/>
      <c r="K22" s="25"/>
      <c r="L22" s="25"/>
      <c r="M22" s="25"/>
      <c r="N22" s="80">
        <f t="shared" si="0"/>
        <v>2318825</v>
      </c>
      <c r="O22" s="80">
        <f t="shared" si="1"/>
        <v>2318825</v>
      </c>
      <c r="P22" s="80">
        <f t="shared" si="2"/>
        <v>0</v>
      </c>
    </row>
    <row r="23" spans="1:16" s="88" customFormat="1" ht="15">
      <c r="A23" s="77" t="s">
        <v>45</v>
      </c>
      <c r="B23" s="84"/>
      <c r="C23" s="85" t="s">
        <v>185</v>
      </c>
      <c r="D23" s="86"/>
      <c r="E23" s="310">
        <f>E22+E21+E15+E11</f>
        <v>148582264</v>
      </c>
      <c r="F23" s="310">
        <f aca="true" t="shared" si="4" ref="F23:P23">F22+F21+F15+F11</f>
        <v>147082464</v>
      </c>
      <c r="G23" s="310">
        <f t="shared" si="4"/>
        <v>1499800</v>
      </c>
      <c r="H23" s="310">
        <f t="shared" si="4"/>
        <v>8206604</v>
      </c>
      <c r="I23" s="310">
        <f t="shared" si="4"/>
        <v>8206604</v>
      </c>
      <c r="J23" s="87">
        <f t="shared" si="4"/>
        <v>0</v>
      </c>
      <c r="K23" s="87">
        <f t="shared" si="4"/>
        <v>0</v>
      </c>
      <c r="L23" s="87">
        <f t="shared" si="4"/>
        <v>0</v>
      </c>
      <c r="M23" s="87">
        <f t="shared" si="4"/>
        <v>0</v>
      </c>
      <c r="N23" s="87">
        <f t="shared" si="4"/>
        <v>156788868</v>
      </c>
      <c r="O23" s="87">
        <f t="shared" si="4"/>
        <v>155289068</v>
      </c>
      <c r="P23" s="87">
        <f t="shared" si="4"/>
        <v>1499800</v>
      </c>
    </row>
    <row r="24" spans="1:16" ht="12.75">
      <c r="A24" s="77" t="s">
        <v>46</v>
      </c>
      <c r="B24" s="23" t="s">
        <v>193</v>
      </c>
      <c r="C24" s="81" t="s">
        <v>187</v>
      </c>
      <c r="D24" s="81"/>
      <c r="E24" s="309"/>
      <c r="F24" s="309"/>
      <c r="G24" s="309"/>
      <c r="H24" s="309"/>
      <c r="I24" s="309"/>
      <c r="J24" s="25"/>
      <c r="K24" s="25"/>
      <c r="L24" s="25"/>
      <c r="M24" s="25"/>
      <c r="N24" s="25"/>
      <c r="O24" s="25"/>
      <c r="P24" s="25"/>
    </row>
    <row r="25" spans="1:16" ht="12.75">
      <c r="A25" s="77" t="s">
        <v>47</v>
      </c>
      <c r="B25" s="23"/>
      <c r="C25" s="81" t="s">
        <v>189</v>
      </c>
      <c r="D25" s="81"/>
      <c r="E25" s="309">
        <v>48500000</v>
      </c>
      <c r="F25" s="309">
        <v>48500000</v>
      </c>
      <c r="G25" s="309"/>
      <c r="H25" s="309"/>
      <c r="I25" s="309"/>
      <c r="J25" s="25"/>
      <c r="K25" s="25"/>
      <c r="L25" s="25"/>
      <c r="M25" s="25"/>
      <c r="N25" s="80">
        <f aca="true" t="shared" si="5" ref="N25:P27">H25+E25</f>
        <v>48500000</v>
      </c>
      <c r="O25" s="80">
        <f t="shared" si="5"/>
        <v>48500000</v>
      </c>
      <c r="P25" s="80">
        <f t="shared" si="5"/>
        <v>0</v>
      </c>
    </row>
    <row r="26" spans="1:16" ht="12.75">
      <c r="A26" s="77" t="s">
        <v>48</v>
      </c>
      <c r="B26" s="23"/>
      <c r="C26" s="81" t="s">
        <v>190</v>
      </c>
      <c r="D26" s="81"/>
      <c r="E26" s="309">
        <v>382041</v>
      </c>
      <c r="F26" s="309">
        <v>382041</v>
      </c>
      <c r="G26" s="309"/>
      <c r="H26" s="309"/>
      <c r="I26" s="309"/>
      <c r="J26" s="25"/>
      <c r="K26" s="25"/>
      <c r="L26" s="25"/>
      <c r="M26" s="25"/>
      <c r="N26" s="80">
        <f t="shared" si="5"/>
        <v>382041</v>
      </c>
      <c r="O26" s="80">
        <f t="shared" si="5"/>
        <v>382041</v>
      </c>
      <c r="P26" s="80">
        <f t="shared" si="5"/>
        <v>0</v>
      </c>
    </row>
    <row r="27" spans="1:16" ht="12.75">
      <c r="A27" s="77" t="s">
        <v>49</v>
      </c>
      <c r="B27" s="23"/>
      <c r="C27" s="81" t="s">
        <v>247</v>
      </c>
      <c r="D27" s="81"/>
      <c r="E27" s="25">
        <v>0</v>
      </c>
      <c r="F27" s="25">
        <v>0</v>
      </c>
      <c r="G27" s="25"/>
      <c r="H27" s="309"/>
      <c r="I27" s="309"/>
      <c r="J27" s="25"/>
      <c r="K27" s="25"/>
      <c r="L27" s="25"/>
      <c r="M27" s="25"/>
      <c r="N27" s="80">
        <f t="shared" si="5"/>
        <v>0</v>
      </c>
      <c r="O27" s="80">
        <f t="shared" si="5"/>
        <v>0</v>
      </c>
      <c r="P27" s="80">
        <f t="shared" si="5"/>
        <v>0</v>
      </c>
    </row>
    <row r="28" spans="1:16" s="88" customFormat="1" ht="15">
      <c r="A28" s="77" t="s">
        <v>60</v>
      </c>
      <c r="B28" s="84"/>
      <c r="C28" s="85" t="s">
        <v>191</v>
      </c>
      <c r="D28" s="86"/>
      <c r="E28" s="87">
        <f aca="true" t="shared" si="6" ref="E28:P28">SUM(E25:E27)</f>
        <v>48882041</v>
      </c>
      <c r="F28" s="87">
        <f t="shared" si="6"/>
        <v>48882041</v>
      </c>
      <c r="G28" s="87">
        <f t="shared" si="6"/>
        <v>0</v>
      </c>
      <c r="H28" s="310">
        <f t="shared" si="6"/>
        <v>0</v>
      </c>
      <c r="I28" s="310">
        <f t="shared" si="6"/>
        <v>0</v>
      </c>
      <c r="J28" s="87">
        <f t="shared" si="6"/>
        <v>0</v>
      </c>
      <c r="K28" s="87">
        <f t="shared" si="6"/>
        <v>0</v>
      </c>
      <c r="L28" s="87">
        <f t="shared" si="6"/>
        <v>0</v>
      </c>
      <c r="M28" s="87">
        <f t="shared" si="6"/>
        <v>0</v>
      </c>
      <c r="N28" s="87">
        <f t="shared" si="6"/>
        <v>48882041</v>
      </c>
      <c r="O28" s="87">
        <f t="shared" si="6"/>
        <v>48882041</v>
      </c>
      <c r="P28" s="87">
        <f t="shared" si="6"/>
        <v>0</v>
      </c>
    </row>
    <row r="29" spans="1:16" s="88" customFormat="1" ht="15">
      <c r="A29" s="77" t="s">
        <v>61</v>
      </c>
      <c r="B29" s="84"/>
      <c r="C29" s="85" t="s">
        <v>221</v>
      </c>
      <c r="D29" s="86"/>
      <c r="E29" s="87">
        <f>E28+E23</f>
        <v>197464305</v>
      </c>
      <c r="F29" s="87">
        <f aca="true" t="shared" si="7" ref="F29:P29">F28+F23</f>
        <v>195964505</v>
      </c>
      <c r="G29" s="87">
        <f t="shared" si="7"/>
        <v>1499800</v>
      </c>
      <c r="H29" s="310">
        <f t="shared" si="7"/>
        <v>8206604</v>
      </c>
      <c r="I29" s="310">
        <f t="shared" si="7"/>
        <v>8206604</v>
      </c>
      <c r="J29" s="87">
        <f t="shared" si="7"/>
        <v>0</v>
      </c>
      <c r="K29" s="87">
        <f t="shared" si="7"/>
        <v>0</v>
      </c>
      <c r="L29" s="87">
        <f t="shared" si="7"/>
        <v>0</v>
      </c>
      <c r="M29" s="87">
        <f t="shared" si="7"/>
        <v>0</v>
      </c>
      <c r="N29" s="87">
        <f t="shared" si="7"/>
        <v>205670909</v>
      </c>
      <c r="O29" s="87">
        <f>O28+O23</f>
        <v>204171109</v>
      </c>
      <c r="P29" s="87">
        <f t="shared" si="7"/>
        <v>1499800</v>
      </c>
    </row>
    <row r="30" spans="1:16" ht="12.75">
      <c r="A30" s="77" t="s">
        <v>62</v>
      </c>
      <c r="B30" s="23" t="s">
        <v>194</v>
      </c>
      <c r="C30" s="81" t="s">
        <v>199</v>
      </c>
      <c r="D30" s="81"/>
      <c r="E30" s="25"/>
      <c r="F30" s="25"/>
      <c r="G30" s="25"/>
      <c r="H30" s="309"/>
      <c r="I30" s="309"/>
      <c r="J30" s="25"/>
      <c r="K30" s="25"/>
      <c r="L30" s="25"/>
      <c r="M30" s="25"/>
      <c r="N30" s="25"/>
      <c r="O30" s="25"/>
      <c r="P30" s="25"/>
    </row>
    <row r="31" spans="1:16" ht="12.75">
      <c r="A31" s="77" t="s">
        <v>63</v>
      </c>
      <c r="B31" s="23"/>
      <c r="C31" s="82" t="s">
        <v>176</v>
      </c>
      <c r="D31" s="89" t="s">
        <v>195</v>
      </c>
      <c r="E31" s="90">
        <f>SUM(E32:E35)</f>
        <v>0</v>
      </c>
      <c r="F31" s="90">
        <f>E31</f>
        <v>0</v>
      </c>
      <c r="G31" s="90"/>
      <c r="H31" s="311"/>
      <c r="I31" s="311"/>
      <c r="J31" s="90"/>
      <c r="K31" s="90">
        <f aca="true" t="shared" si="8" ref="K31:P31">SUM(K32:K35)</f>
        <v>0</v>
      </c>
      <c r="L31" s="90">
        <f t="shared" si="8"/>
        <v>0</v>
      </c>
      <c r="M31" s="90">
        <f t="shared" si="8"/>
        <v>0</v>
      </c>
      <c r="N31" s="90">
        <f t="shared" si="8"/>
        <v>0</v>
      </c>
      <c r="O31" s="90">
        <f t="shared" si="8"/>
        <v>0</v>
      </c>
      <c r="P31" s="90">
        <f t="shared" si="8"/>
        <v>0</v>
      </c>
    </row>
    <row r="32" spans="1:16" ht="12.75">
      <c r="A32" s="77" t="s">
        <v>64</v>
      </c>
      <c r="B32" s="23"/>
      <c r="C32" s="83"/>
      <c r="D32" s="23" t="s">
        <v>280</v>
      </c>
      <c r="E32" s="25"/>
      <c r="F32" s="25"/>
      <c r="G32" s="25"/>
      <c r="H32" s="309"/>
      <c r="I32" s="309"/>
      <c r="J32" s="25"/>
      <c r="K32" s="25"/>
      <c r="L32" s="25"/>
      <c r="M32" s="25"/>
      <c r="N32" s="80">
        <f aca="true" t="shared" si="9" ref="N32:N38">H32+E32</f>
        <v>0</v>
      </c>
      <c r="O32" s="80">
        <f aca="true" t="shared" si="10" ref="O32:P38">I32+F32</f>
        <v>0</v>
      </c>
      <c r="P32" s="80">
        <f>J32+G32</f>
        <v>0</v>
      </c>
    </row>
    <row r="33" spans="1:16" ht="12.75">
      <c r="A33" s="77" t="s">
        <v>65</v>
      </c>
      <c r="B33" s="23"/>
      <c r="C33" s="83"/>
      <c r="D33" s="23" t="s">
        <v>266</v>
      </c>
      <c r="E33" s="25"/>
      <c r="F33" s="25"/>
      <c r="G33" s="25"/>
      <c r="H33" s="309"/>
      <c r="I33" s="309"/>
      <c r="J33" s="25"/>
      <c r="K33" s="25"/>
      <c r="L33" s="25"/>
      <c r="M33" s="25"/>
      <c r="N33" s="80">
        <f t="shared" si="9"/>
        <v>0</v>
      </c>
      <c r="O33" s="80">
        <f t="shared" si="10"/>
        <v>0</v>
      </c>
      <c r="P33" s="80">
        <f>J33+G33</f>
        <v>0</v>
      </c>
    </row>
    <row r="34" spans="1:16" ht="12.75">
      <c r="A34" s="77" t="s">
        <v>66</v>
      </c>
      <c r="B34" s="23"/>
      <c r="C34" s="83"/>
      <c r="D34" s="23" t="s">
        <v>281</v>
      </c>
      <c r="E34" s="25"/>
      <c r="F34" s="25"/>
      <c r="G34" s="25"/>
      <c r="H34" s="309"/>
      <c r="I34" s="309"/>
      <c r="J34" s="25"/>
      <c r="K34" s="25"/>
      <c r="L34" s="25"/>
      <c r="M34" s="25"/>
      <c r="N34" s="80">
        <f t="shared" si="9"/>
        <v>0</v>
      </c>
      <c r="O34" s="80">
        <f t="shared" si="10"/>
        <v>0</v>
      </c>
      <c r="P34" s="80">
        <f>J34+G34</f>
        <v>0</v>
      </c>
    </row>
    <row r="35" spans="1:16" ht="12.75">
      <c r="A35" s="77" t="s">
        <v>67</v>
      </c>
      <c r="B35" s="23"/>
      <c r="C35" s="83"/>
      <c r="D35" s="23" t="s">
        <v>282</v>
      </c>
      <c r="E35" s="25"/>
      <c r="F35" s="25"/>
      <c r="G35" s="25"/>
      <c r="H35" s="309"/>
      <c r="I35" s="309"/>
      <c r="J35" s="25"/>
      <c r="K35" s="25"/>
      <c r="L35" s="25"/>
      <c r="M35" s="25"/>
      <c r="N35" s="80">
        <f t="shared" si="9"/>
        <v>0</v>
      </c>
      <c r="O35" s="80">
        <f t="shared" si="10"/>
        <v>0</v>
      </c>
      <c r="P35" s="80">
        <f>J35+G35</f>
        <v>0</v>
      </c>
    </row>
    <row r="36" spans="1:16" ht="12.75">
      <c r="A36" s="77" t="s">
        <v>74</v>
      </c>
      <c r="B36" s="23"/>
      <c r="C36" s="83"/>
      <c r="D36" s="89" t="s">
        <v>287</v>
      </c>
      <c r="E36" s="90"/>
      <c r="F36" s="90">
        <f>E36</f>
        <v>0</v>
      </c>
      <c r="G36" s="90"/>
      <c r="H36" s="309"/>
      <c r="I36" s="309"/>
      <c r="J36" s="25"/>
      <c r="K36" s="25"/>
      <c r="L36" s="25"/>
      <c r="M36" s="25"/>
      <c r="N36" s="80">
        <f t="shared" si="9"/>
        <v>0</v>
      </c>
      <c r="O36" s="80">
        <f t="shared" si="10"/>
        <v>0</v>
      </c>
      <c r="P36" s="80"/>
    </row>
    <row r="37" spans="1:16" ht="12.75">
      <c r="A37" s="77" t="s">
        <v>84</v>
      </c>
      <c r="B37" s="23"/>
      <c r="C37" s="83"/>
      <c r="D37" s="89" t="s">
        <v>270</v>
      </c>
      <c r="E37" s="90">
        <v>3906375</v>
      </c>
      <c r="F37" s="90">
        <v>3906375</v>
      </c>
      <c r="G37" s="90"/>
      <c r="H37" s="309"/>
      <c r="I37" s="309"/>
      <c r="J37" s="25"/>
      <c r="K37" s="25"/>
      <c r="L37" s="25"/>
      <c r="M37" s="25"/>
      <c r="N37" s="80">
        <f t="shared" si="9"/>
        <v>3906375</v>
      </c>
      <c r="O37" s="80">
        <f t="shared" si="10"/>
        <v>3906375</v>
      </c>
      <c r="P37" s="80"/>
    </row>
    <row r="38" spans="1:16" ht="12.75">
      <c r="A38" s="77" t="s">
        <v>85</v>
      </c>
      <c r="B38" s="23"/>
      <c r="C38" s="83"/>
      <c r="D38" s="89" t="s">
        <v>196</v>
      </c>
      <c r="E38" s="90">
        <f>SUM(E39:E40)</f>
        <v>64109215</v>
      </c>
      <c r="F38" s="90">
        <f>SUM(F39:F40)</f>
        <v>63157560</v>
      </c>
      <c r="G38" s="90">
        <f>SUM(G39:G40)</f>
        <v>951655</v>
      </c>
      <c r="H38" s="311">
        <f>H39</f>
        <v>384307</v>
      </c>
      <c r="I38" s="311">
        <f>I39</f>
        <v>384307</v>
      </c>
      <c r="J38" s="90">
        <f>SUM(J40:J40)</f>
        <v>0</v>
      </c>
      <c r="K38" s="90">
        <f>SUM(K40:K40)</f>
        <v>0</v>
      </c>
      <c r="L38" s="90">
        <f>SUM(L40:L40)</f>
        <v>0</v>
      </c>
      <c r="M38" s="90">
        <f>SUM(M40:M40)</f>
        <v>0</v>
      </c>
      <c r="N38" s="91">
        <f t="shared" si="9"/>
        <v>64493522</v>
      </c>
      <c r="O38" s="91">
        <f t="shared" si="10"/>
        <v>63541867</v>
      </c>
      <c r="P38" s="80">
        <f t="shared" si="10"/>
        <v>951655</v>
      </c>
    </row>
    <row r="39" spans="1:16" ht="12.75">
      <c r="A39" s="77" t="s">
        <v>86</v>
      </c>
      <c r="B39" s="23"/>
      <c r="C39" s="83"/>
      <c r="D39" s="23" t="s">
        <v>197</v>
      </c>
      <c r="E39" s="25">
        <v>33128136</v>
      </c>
      <c r="F39" s="25">
        <f>E39-G39</f>
        <v>32176481</v>
      </c>
      <c r="G39" s="25">
        <v>951655</v>
      </c>
      <c r="H39" s="309">
        <v>384307</v>
      </c>
      <c r="I39" s="309">
        <v>384307</v>
      </c>
      <c r="J39" s="25"/>
      <c r="K39" s="25"/>
      <c r="L39" s="25"/>
      <c r="M39" s="25"/>
      <c r="N39" s="25">
        <f>E39+H39</f>
        <v>33512443</v>
      </c>
      <c r="O39" s="25">
        <f aca="true" t="shared" si="11" ref="N39:P40">F39+I39</f>
        <v>32560788</v>
      </c>
      <c r="P39" s="25">
        <f t="shared" si="11"/>
        <v>951655</v>
      </c>
    </row>
    <row r="40" spans="1:16" ht="12.75">
      <c r="A40" s="77" t="s">
        <v>87</v>
      </c>
      <c r="B40" s="23"/>
      <c r="C40" s="83"/>
      <c r="D40" s="23" t="s">
        <v>198</v>
      </c>
      <c r="E40" s="25">
        <v>30981079</v>
      </c>
      <c r="F40" s="25">
        <f>E40</f>
        <v>30981079</v>
      </c>
      <c r="G40" s="25"/>
      <c r="H40" s="309"/>
      <c r="I40" s="309"/>
      <c r="J40" s="25"/>
      <c r="K40" s="25"/>
      <c r="L40" s="25"/>
      <c r="M40" s="25"/>
      <c r="N40" s="25">
        <f t="shared" si="11"/>
        <v>30981079</v>
      </c>
      <c r="O40" s="25">
        <f t="shared" si="11"/>
        <v>30981079</v>
      </c>
      <c r="P40" s="25">
        <f t="shared" si="11"/>
        <v>0</v>
      </c>
    </row>
    <row r="41" spans="1:16" ht="12.75">
      <c r="A41" s="77" t="s">
        <v>88</v>
      </c>
      <c r="B41" s="23"/>
      <c r="C41" s="83"/>
      <c r="D41" s="89" t="s">
        <v>200</v>
      </c>
      <c r="E41" s="90"/>
      <c r="F41" s="90"/>
      <c r="G41" s="90"/>
      <c r="H41" s="311">
        <f>31107544+6600</f>
        <v>31114144</v>
      </c>
      <c r="I41" s="311">
        <v>31114144</v>
      </c>
      <c r="J41" s="90"/>
      <c r="K41" s="90"/>
      <c r="L41" s="90"/>
      <c r="M41" s="90"/>
      <c r="N41" s="80">
        <f>H41+E41</f>
        <v>31114144</v>
      </c>
      <c r="O41" s="80">
        <f>I41+F41</f>
        <v>31114144</v>
      </c>
      <c r="P41" s="80">
        <f>J41+G41</f>
        <v>0</v>
      </c>
    </row>
    <row r="42" spans="1:16" s="93" customFormat="1" ht="15">
      <c r="A42" s="77" t="s">
        <v>79</v>
      </c>
      <c r="B42" s="92"/>
      <c r="C42" s="85" t="s">
        <v>16</v>
      </c>
      <c r="D42" s="85"/>
      <c r="E42" s="87">
        <f>E41+E38+E31+E36+E37</f>
        <v>68015590</v>
      </c>
      <c r="F42" s="87">
        <f>F41+F38+F31+F36+F37</f>
        <v>67063935</v>
      </c>
      <c r="G42" s="87">
        <f aca="true" t="shared" si="12" ref="G42:M42">G41+G38+G31</f>
        <v>951655</v>
      </c>
      <c r="H42" s="310">
        <f>H41+H38+H31</f>
        <v>31498451</v>
      </c>
      <c r="I42" s="310">
        <f t="shared" si="12"/>
        <v>31498451</v>
      </c>
      <c r="J42" s="87">
        <f t="shared" si="12"/>
        <v>0</v>
      </c>
      <c r="K42" s="87">
        <f t="shared" si="12"/>
        <v>0</v>
      </c>
      <c r="L42" s="87">
        <f t="shared" si="12"/>
        <v>0</v>
      </c>
      <c r="M42" s="87">
        <f t="shared" si="12"/>
        <v>0</v>
      </c>
      <c r="N42" s="87">
        <f>N41+N38+N31+N36+N37</f>
        <v>99514041</v>
      </c>
      <c r="O42" s="87">
        <f>O41+O38+O31+O36+O37</f>
        <v>98562386</v>
      </c>
      <c r="P42" s="87">
        <f>P41+P38+P31</f>
        <v>951655</v>
      </c>
    </row>
    <row r="43" spans="1:16" s="93" customFormat="1" ht="15">
      <c r="A43" s="77" t="s">
        <v>80</v>
      </c>
      <c r="B43" s="94" t="s">
        <v>155</v>
      </c>
      <c r="C43" s="85"/>
      <c r="D43" s="85"/>
      <c r="E43" s="87">
        <f>E29+E42</f>
        <v>265479895</v>
      </c>
      <c r="F43" s="87">
        <f aca="true" t="shared" si="13" ref="F43:P43">F29+F42</f>
        <v>263028440</v>
      </c>
      <c r="G43" s="87">
        <f t="shared" si="13"/>
        <v>2451455</v>
      </c>
      <c r="H43" s="310">
        <f t="shared" si="13"/>
        <v>39705055</v>
      </c>
      <c r="I43" s="310">
        <f t="shared" si="13"/>
        <v>39705055</v>
      </c>
      <c r="J43" s="87">
        <f t="shared" si="13"/>
        <v>0</v>
      </c>
      <c r="K43" s="87">
        <f t="shared" si="13"/>
        <v>0</v>
      </c>
      <c r="L43" s="87">
        <f t="shared" si="13"/>
        <v>0</v>
      </c>
      <c r="M43" s="87">
        <f t="shared" si="13"/>
        <v>0</v>
      </c>
      <c r="N43" s="87">
        <f t="shared" si="13"/>
        <v>305184950</v>
      </c>
      <c r="O43" s="87">
        <f t="shared" si="13"/>
        <v>302733495</v>
      </c>
      <c r="P43" s="87">
        <f t="shared" si="13"/>
        <v>2451455</v>
      </c>
    </row>
  </sheetData>
  <sheetProtection/>
  <mergeCells count="9">
    <mergeCell ref="B9:D9"/>
    <mergeCell ref="H8:J8"/>
    <mergeCell ref="K8:M8"/>
    <mergeCell ref="N8:P8"/>
    <mergeCell ref="B3:P3"/>
    <mergeCell ref="B4:P4"/>
    <mergeCell ref="C7:D7"/>
    <mergeCell ref="E8:G8"/>
    <mergeCell ref="B8:D8"/>
  </mergeCells>
  <printOptions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  <headerFooter>
    <oddHeader>&amp;C&amp;"Arial,Normál"Tiszagyulaháza Község Önkormányzata 2020. évi működési, felhalmozási és finanszírozási bevételek kiemelt előirányzatai
(Ft)&amp;R&amp;"Arial,Normál"2. melléklet
az 1/2021 (II. 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3"/>
  <sheetViews>
    <sheetView view="pageLayout" zoomScaleNormal="86" workbookViewId="0" topLeftCell="A1">
      <selection activeCell="H5" sqref="H5:Q5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7" width="14.7109375" style="3" customWidth="1"/>
    <col min="8" max="9" width="14.7109375" style="312" customWidth="1"/>
    <col min="10" max="10" width="14.7109375" style="3" customWidth="1"/>
    <col min="11" max="13" width="14.8515625" style="3" hidden="1" customWidth="1"/>
    <col min="14" max="17" width="14.7109375" style="3" customWidth="1"/>
    <col min="18" max="16384" width="9.140625" style="2" customWidth="1"/>
  </cols>
  <sheetData>
    <row r="1" ht="12.75">
      <c r="Q1" s="4"/>
    </row>
    <row r="2" ht="12.75">
      <c r="Q2" s="5"/>
    </row>
    <row r="3" spans="2:17" ht="15.75"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2:17" ht="12.75"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spans="2:17" ht="12.75">
      <c r="B5" s="68"/>
      <c r="C5" s="68"/>
      <c r="D5" s="68"/>
      <c r="E5" s="69"/>
      <c r="F5" s="69"/>
      <c r="G5" s="68"/>
      <c r="H5" s="313"/>
      <c r="I5" s="313"/>
      <c r="J5" s="68"/>
      <c r="K5" s="68"/>
      <c r="L5" s="68"/>
      <c r="M5" s="68"/>
      <c r="N5" s="69"/>
      <c r="O5" s="68"/>
      <c r="P5" s="68"/>
      <c r="Q5" s="68"/>
    </row>
    <row r="7" spans="2:17" s="68" customFormat="1" ht="15" customHeight="1">
      <c r="B7" s="70" t="s">
        <v>22</v>
      </c>
      <c r="C7" s="345" t="s">
        <v>23</v>
      </c>
      <c r="D7" s="346"/>
      <c r="E7" s="72" t="s">
        <v>24</v>
      </c>
      <c r="F7" s="72" t="s">
        <v>25</v>
      </c>
      <c r="G7" s="72" t="s">
        <v>26</v>
      </c>
      <c r="H7" s="314" t="s">
        <v>27</v>
      </c>
      <c r="I7" s="314" t="s">
        <v>28</v>
      </c>
      <c r="J7" s="72" t="s">
        <v>33</v>
      </c>
      <c r="K7" s="72" t="s">
        <v>40</v>
      </c>
      <c r="L7" s="72" t="s">
        <v>72</v>
      </c>
      <c r="M7" s="72" t="s">
        <v>73</v>
      </c>
      <c r="N7" s="72" t="s">
        <v>34</v>
      </c>
      <c r="O7" s="72" t="s">
        <v>35</v>
      </c>
      <c r="P7" s="72" t="s">
        <v>38</v>
      </c>
      <c r="Q7" s="72" t="s">
        <v>36</v>
      </c>
    </row>
    <row r="8" spans="1:17" s="74" customFormat="1" ht="30" customHeight="1">
      <c r="A8" s="73"/>
      <c r="B8" s="336" t="s">
        <v>4</v>
      </c>
      <c r="C8" s="347"/>
      <c r="D8" s="347"/>
      <c r="E8" s="348" t="s">
        <v>331</v>
      </c>
      <c r="F8" s="348"/>
      <c r="G8" s="348"/>
      <c r="H8" s="348" t="s">
        <v>329</v>
      </c>
      <c r="I8" s="348"/>
      <c r="J8" s="348"/>
      <c r="K8" s="340" t="s">
        <v>206</v>
      </c>
      <c r="L8" s="341"/>
      <c r="M8" s="342"/>
      <c r="N8" s="340" t="s">
        <v>207</v>
      </c>
      <c r="O8" s="341"/>
      <c r="P8" s="341"/>
      <c r="Q8" s="342"/>
    </row>
    <row r="9" spans="2:17" ht="34.5" customHeight="1">
      <c r="B9" s="347" t="s">
        <v>208</v>
      </c>
      <c r="C9" s="347"/>
      <c r="D9" s="347"/>
      <c r="E9" s="76" t="s">
        <v>332</v>
      </c>
      <c r="F9" s="76" t="s">
        <v>201</v>
      </c>
      <c r="G9" s="76" t="s">
        <v>202</v>
      </c>
      <c r="H9" s="315" t="s">
        <v>332</v>
      </c>
      <c r="I9" s="315" t="s">
        <v>201</v>
      </c>
      <c r="J9" s="76" t="s">
        <v>202</v>
      </c>
      <c r="K9" s="76" t="s">
        <v>263</v>
      </c>
      <c r="L9" s="76" t="s">
        <v>201</v>
      </c>
      <c r="M9" s="76" t="s">
        <v>202</v>
      </c>
      <c r="N9" s="76" t="s">
        <v>332</v>
      </c>
      <c r="O9" s="76" t="s">
        <v>201</v>
      </c>
      <c r="P9" s="76" t="s">
        <v>202</v>
      </c>
      <c r="Q9" s="95" t="s">
        <v>259</v>
      </c>
    </row>
    <row r="10" spans="1:17" ht="12.75">
      <c r="A10" s="77" t="s">
        <v>75</v>
      </c>
      <c r="B10" s="78" t="s">
        <v>192</v>
      </c>
      <c r="C10" s="79" t="s">
        <v>209</v>
      </c>
      <c r="D10" s="79"/>
      <c r="E10" s="80"/>
      <c r="F10" s="25"/>
      <c r="G10" s="25"/>
      <c r="H10" s="308"/>
      <c r="I10" s="309"/>
      <c r="J10" s="25"/>
      <c r="K10" s="80"/>
      <c r="L10" s="25"/>
      <c r="M10" s="25"/>
      <c r="N10" s="80"/>
      <c r="O10" s="25"/>
      <c r="P10" s="25"/>
      <c r="Q10" s="25"/>
    </row>
    <row r="11" spans="1:17" ht="12.75">
      <c r="A11" s="77" t="s">
        <v>50</v>
      </c>
      <c r="B11" s="23"/>
      <c r="C11" s="81" t="s">
        <v>210</v>
      </c>
      <c r="D11" s="81"/>
      <c r="E11" s="25">
        <f>41425533-30</f>
        <v>41425503</v>
      </c>
      <c r="F11" s="25">
        <f>E11-G11</f>
        <v>39841009</v>
      </c>
      <c r="G11" s="25">
        <v>1584494</v>
      </c>
      <c r="H11" s="309">
        <v>20362201</v>
      </c>
      <c r="I11" s="309">
        <v>20362201</v>
      </c>
      <c r="J11" s="25"/>
      <c r="K11" s="25"/>
      <c r="L11" s="25"/>
      <c r="M11" s="25"/>
      <c r="N11" s="80">
        <f>H11+E11</f>
        <v>61787704</v>
      </c>
      <c r="O11" s="80">
        <f aca="true" t="shared" si="0" ref="N11:P15">I11+F11</f>
        <v>60203210</v>
      </c>
      <c r="P11" s="80">
        <f t="shared" si="0"/>
        <v>1584494</v>
      </c>
      <c r="Q11" s="80">
        <v>0</v>
      </c>
    </row>
    <row r="12" spans="1:17" ht="12.75">
      <c r="A12" s="77" t="s">
        <v>42</v>
      </c>
      <c r="B12" s="23"/>
      <c r="C12" s="81" t="s">
        <v>211</v>
      </c>
      <c r="D12" s="81"/>
      <c r="E12" s="25">
        <v>5804440</v>
      </c>
      <c r="F12" s="25">
        <f>E12-G12</f>
        <v>5528029</v>
      </c>
      <c r="G12" s="25">
        <v>276411</v>
      </c>
      <c r="H12" s="309">
        <v>3379026</v>
      </c>
      <c r="I12" s="309">
        <v>3379026</v>
      </c>
      <c r="J12" s="25"/>
      <c r="K12" s="25"/>
      <c r="L12" s="25"/>
      <c r="M12" s="25"/>
      <c r="N12" s="80">
        <f t="shared" si="0"/>
        <v>9183466</v>
      </c>
      <c r="O12" s="80">
        <f t="shared" si="0"/>
        <v>8907055</v>
      </c>
      <c r="P12" s="80">
        <f t="shared" si="0"/>
        <v>276411</v>
      </c>
      <c r="Q12" s="80">
        <v>0</v>
      </c>
    </row>
    <row r="13" spans="1:17" ht="12.75">
      <c r="A13" s="77" t="s">
        <v>43</v>
      </c>
      <c r="B13" s="23"/>
      <c r="C13" s="81" t="s">
        <v>212</v>
      </c>
      <c r="D13" s="81"/>
      <c r="E13" s="25">
        <f>83747110-196189+1628187+196189+194718+2455101+1430254-1436824</f>
        <v>88018546</v>
      </c>
      <c r="F13" s="25">
        <f>E13-G13</f>
        <v>87427996</v>
      </c>
      <c r="G13" s="25">
        <v>590550</v>
      </c>
      <c r="H13" s="309">
        <v>13240124</v>
      </c>
      <c r="I13" s="309">
        <v>13240124</v>
      </c>
      <c r="J13" s="25"/>
      <c r="K13" s="25"/>
      <c r="L13" s="25"/>
      <c r="M13" s="25"/>
      <c r="N13" s="80">
        <f>H13+E13</f>
        <v>101258670</v>
      </c>
      <c r="O13" s="80">
        <f t="shared" si="0"/>
        <v>100668120</v>
      </c>
      <c r="P13" s="80">
        <f t="shared" si="0"/>
        <v>590550</v>
      </c>
      <c r="Q13" s="80">
        <v>0</v>
      </c>
    </row>
    <row r="14" spans="1:17" ht="12.75">
      <c r="A14" s="77" t="s">
        <v>44</v>
      </c>
      <c r="B14" s="23"/>
      <c r="C14" s="81" t="s">
        <v>213</v>
      </c>
      <c r="D14" s="81"/>
      <c r="E14" s="25">
        <v>1644310</v>
      </c>
      <c r="F14" s="25">
        <f>E14</f>
        <v>1644310</v>
      </c>
      <c r="G14" s="25"/>
      <c r="H14" s="309"/>
      <c r="I14" s="309"/>
      <c r="J14" s="25"/>
      <c r="K14" s="25"/>
      <c r="L14" s="25"/>
      <c r="M14" s="25"/>
      <c r="N14" s="80">
        <f t="shared" si="0"/>
        <v>1644310</v>
      </c>
      <c r="O14" s="80">
        <f t="shared" si="0"/>
        <v>1644310</v>
      </c>
      <c r="P14" s="80">
        <f t="shared" si="0"/>
        <v>0</v>
      </c>
      <c r="Q14" s="80">
        <v>0</v>
      </c>
    </row>
    <row r="15" spans="1:17" ht="12.75">
      <c r="A15" s="77" t="s">
        <v>29</v>
      </c>
      <c r="B15" s="23"/>
      <c r="C15" s="81" t="s">
        <v>214</v>
      </c>
      <c r="D15" s="81"/>
      <c r="E15" s="25">
        <v>14000000</v>
      </c>
      <c r="F15" s="25">
        <f>E15</f>
        <v>14000000</v>
      </c>
      <c r="G15" s="25"/>
      <c r="H15" s="309"/>
      <c r="I15" s="309"/>
      <c r="J15" s="25"/>
      <c r="K15" s="25"/>
      <c r="L15" s="25"/>
      <c r="M15" s="25"/>
      <c r="N15" s="80">
        <f t="shared" si="0"/>
        <v>14000000</v>
      </c>
      <c r="O15" s="80">
        <f t="shared" si="0"/>
        <v>14000000</v>
      </c>
      <c r="P15" s="80">
        <f t="shared" si="0"/>
        <v>0</v>
      </c>
      <c r="Q15" s="80">
        <v>0</v>
      </c>
    </row>
    <row r="16" spans="1:17" ht="12.75">
      <c r="A16" s="77" t="s">
        <v>30</v>
      </c>
      <c r="B16" s="23"/>
      <c r="C16" s="82" t="s">
        <v>176</v>
      </c>
      <c r="D16" s="23" t="s">
        <v>229</v>
      </c>
      <c r="E16" s="25"/>
      <c r="F16" s="25"/>
      <c r="G16" s="25"/>
      <c r="H16" s="309"/>
      <c r="I16" s="309"/>
      <c r="J16" s="25"/>
      <c r="K16" s="25"/>
      <c r="L16" s="25"/>
      <c r="M16" s="25"/>
      <c r="N16" s="80"/>
      <c r="O16" s="80"/>
      <c r="P16" s="80"/>
      <c r="Q16" s="80"/>
    </row>
    <row r="17" spans="1:17" ht="12.75">
      <c r="A17" s="77" t="s">
        <v>31</v>
      </c>
      <c r="B17" s="23"/>
      <c r="C17" s="82"/>
      <c r="D17" s="23" t="s">
        <v>5</v>
      </c>
      <c r="E17" s="25">
        <v>2000000</v>
      </c>
      <c r="F17" s="25">
        <f>E17</f>
        <v>2000000</v>
      </c>
      <c r="G17" s="25"/>
      <c r="H17" s="309"/>
      <c r="I17" s="309"/>
      <c r="J17" s="25"/>
      <c r="K17" s="25"/>
      <c r="L17" s="25"/>
      <c r="M17" s="25"/>
      <c r="N17" s="80">
        <f>H17+E17</f>
        <v>2000000</v>
      </c>
      <c r="O17" s="80">
        <f>I17+F17</f>
        <v>2000000</v>
      </c>
      <c r="P17" s="80">
        <f>J17+G17</f>
        <v>0</v>
      </c>
      <c r="Q17" s="80">
        <v>0</v>
      </c>
    </row>
    <row r="18" spans="1:17" s="88" customFormat="1" ht="15">
      <c r="A18" s="77" t="s">
        <v>32</v>
      </c>
      <c r="B18" s="84"/>
      <c r="C18" s="85" t="s">
        <v>215</v>
      </c>
      <c r="D18" s="86"/>
      <c r="E18" s="87">
        <f>E15+E14+E13+E12+E11</f>
        <v>150892799</v>
      </c>
      <c r="F18" s="87">
        <f aca="true" t="shared" si="1" ref="F18:Q18">F15+F14+F13+F12+F11</f>
        <v>148441344</v>
      </c>
      <c r="G18" s="87">
        <f t="shared" si="1"/>
        <v>2451455</v>
      </c>
      <c r="H18" s="310">
        <f>H15+H14+H13+H12+H11</f>
        <v>36981351</v>
      </c>
      <c r="I18" s="310">
        <f t="shared" si="1"/>
        <v>36981351</v>
      </c>
      <c r="J18" s="87">
        <f t="shared" si="1"/>
        <v>0</v>
      </c>
      <c r="K18" s="87">
        <f t="shared" si="1"/>
        <v>0</v>
      </c>
      <c r="L18" s="87">
        <f t="shared" si="1"/>
        <v>0</v>
      </c>
      <c r="M18" s="87">
        <f t="shared" si="1"/>
        <v>0</v>
      </c>
      <c r="N18" s="87">
        <f t="shared" si="1"/>
        <v>187874150</v>
      </c>
      <c r="O18" s="87">
        <f t="shared" si="1"/>
        <v>185422695</v>
      </c>
      <c r="P18" s="87">
        <f t="shared" si="1"/>
        <v>2451455</v>
      </c>
      <c r="Q18" s="87">
        <f t="shared" si="1"/>
        <v>0</v>
      </c>
    </row>
    <row r="19" spans="1:17" ht="12.75">
      <c r="A19" s="77" t="s">
        <v>8</v>
      </c>
      <c r="B19" s="23" t="s">
        <v>193</v>
      </c>
      <c r="C19" s="81" t="s">
        <v>216</v>
      </c>
      <c r="D19" s="81"/>
      <c r="E19" s="25"/>
      <c r="F19" s="25"/>
      <c r="G19" s="25"/>
      <c r="H19" s="309"/>
      <c r="I19" s="309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77" t="s">
        <v>9</v>
      </c>
      <c r="B20" s="23"/>
      <c r="C20" s="81" t="s">
        <v>217</v>
      </c>
      <c r="D20" s="81"/>
      <c r="E20" s="25">
        <v>31863120</v>
      </c>
      <c r="F20" s="25">
        <f>E20</f>
        <v>31863120</v>
      </c>
      <c r="G20" s="25"/>
      <c r="H20" s="309">
        <v>2723704</v>
      </c>
      <c r="I20" s="309">
        <v>2723704</v>
      </c>
      <c r="J20" s="25"/>
      <c r="K20" s="25"/>
      <c r="L20" s="25"/>
      <c r="M20" s="25"/>
      <c r="N20" s="80">
        <f aca="true" t="shared" si="2" ref="N20:P22">H20+E20</f>
        <v>34586824</v>
      </c>
      <c r="O20" s="80">
        <f t="shared" si="2"/>
        <v>34586824</v>
      </c>
      <c r="P20" s="80">
        <f t="shared" si="2"/>
        <v>0</v>
      </c>
      <c r="Q20" s="80">
        <v>0</v>
      </c>
    </row>
    <row r="21" spans="1:17" ht="12.75">
      <c r="A21" s="77" t="s">
        <v>10</v>
      </c>
      <c r="B21" s="23"/>
      <c r="C21" s="81" t="s">
        <v>218</v>
      </c>
      <c r="D21" s="81"/>
      <c r="E21" s="25">
        <v>48000000</v>
      </c>
      <c r="F21" s="25">
        <v>48000000</v>
      </c>
      <c r="G21" s="25"/>
      <c r="H21" s="309"/>
      <c r="I21" s="309"/>
      <c r="J21" s="25"/>
      <c r="K21" s="25"/>
      <c r="L21" s="25"/>
      <c r="M21" s="25"/>
      <c r="N21" s="80">
        <f t="shared" si="2"/>
        <v>48000000</v>
      </c>
      <c r="O21" s="80">
        <f t="shared" si="2"/>
        <v>48000000</v>
      </c>
      <c r="P21" s="80">
        <f t="shared" si="2"/>
        <v>0</v>
      </c>
      <c r="Q21" s="80">
        <v>0</v>
      </c>
    </row>
    <row r="22" spans="1:17" ht="12.75">
      <c r="A22" s="77" t="s">
        <v>11</v>
      </c>
      <c r="B22" s="23"/>
      <c r="C22" s="81" t="s">
        <v>219</v>
      </c>
      <c r="D22" s="81"/>
      <c r="E22" s="25">
        <v>0</v>
      </c>
      <c r="F22" s="25">
        <f>E22</f>
        <v>0</v>
      </c>
      <c r="G22" s="25"/>
      <c r="H22" s="309"/>
      <c r="I22" s="309"/>
      <c r="J22" s="25"/>
      <c r="K22" s="25"/>
      <c r="L22" s="25"/>
      <c r="M22" s="25"/>
      <c r="N22" s="80">
        <f t="shared" si="2"/>
        <v>0</v>
      </c>
      <c r="O22" s="80">
        <f t="shared" si="2"/>
        <v>0</v>
      </c>
      <c r="P22" s="80">
        <f t="shared" si="2"/>
        <v>0</v>
      </c>
      <c r="Q22" s="80">
        <v>0</v>
      </c>
    </row>
    <row r="23" spans="1:17" s="88" customFormat="1" ht="15">
      <c r="A23" s="77" t="s">
        <v>45</v>
      </c>
      <c r="B23" s="84"/>
      <c r="C23" s="85" t="s">
        <v>220</v>
      </c>
      <c r="D23" s="86"/>
      <c r="E23" s="87">
        <f>SUM(E20:E22)</f>
        <v>79863120</v>
      </c>
      <c r="F23" s="87">
        <f aca="true" t="shared" si="3" ref="F23:O23">SUM(F20:F22)</f>
        <v>79863120</v>
      </c>
      <c r="G23" s="87">
        <f t="shared" si="3"/>
        <v>0</v>
      </c>
      <c r="H23" s="310">
        <f t="shared" si="3"/>
        <v>2723704</v>
      </c>
      <c r="I23" s="310">
        <f t="shared" si="3"/>
        <v>2723704</v>
      </c>
      <c r="J23" s="87">
        <f>SUM(J20:J22)</f>
        <v>0</v>
      </c>
      <c r="K23" s="87">
        <f t="shared" si="3"/>
        <v>0</v>
      </c>
      <c r="L23" s="87">
        <f t="shared" si="3"/>
        <v>0</v>
      </c>
      <c r="M23" s="87">
        <f t="shared" si="3"/>
        <v>0</v>
      </c>
      <c r="N23" s="87">
        <f t="shared" si="3"/>
        <v>82586824</v>
      </c>
      <c r="O23" s="87">
        <f t="shared" si="3"/>
        <v>82586824</v>
      </c>
      <c r="P23" s="87">
        <f>SUM(P20:P22)</f>
        <v>0</v>
      </c>
      <c r="Q23" s="87">
        <f>SUM(Q20:Q22)</f>
        <v>0</v>
      </c>
    </row>
    <row r="24" spans="1:17" s="88" customFormat="1" ht="15">
      <c r="A24" s="77" t="s">
        <v>46</v>
      </c>
      <c r="B24" s="84"/>
      <c r="C24" s="85" t="s">
        <v>13</v>
      </c>
      <c r="D24" s="86"/>
      <c r="E24" s="87">
        <f>E23+E18</f>
        <v>230755919</v>
      </c>
      <c r="F24" s="87">
        <f aca="true" t="shared" si="4" ref="F24:O24">F23+F18</f>
        <v>228304464</v>
      </c>
      <c r="G24" s="87">
        <f t="shared" si="4"/>
        <v>2451455</v>
      </c>
      <c r="H24" s="310">
        <f t="shared" si="4"/>
        <v>39705055</v>
      </c>
      <c r="I24" s="310">
        <f t="shared" si="4"/>
        <v>39705055</v>
      </c>
      <c r="J24" s="87">
        <f>J23+J18</f>
        <v>0</v>
      </c>
      <c r="K24" s="87">
        <f t="shared" si="4"/>
        <v>0</v>
      </c>
      <c r="L24" s="87">
        <f t="shared" si="4"/>
        <v>0</v>
      </c>
      <c r="M24" s="87">
        <f t="shared" si="4"/>
        <v>0</v>
      </c>
      <c r="N24" s="87">
        <f t="shared" si="4"/>
        <v>270460974</v>
      </c>
      <c r="O24" s="87">
        <f t="shared" si="4"/>
        <v>268009519</v>
      </c>
      <c r="P24" s="87">
        <f>P23+P18</f>
        <v>2451455</v>
      </c>
      <c r="Q24" s="87">
        <f>Q23+Q18</f>
        <v>0</v>
      </c>
    </row>
    <row r="25" spans="1:17" ht="12.75">
      <c r="A25" s="77" t="s">
        <v>47</v>
      </c>
      <c r="B25" s="23" t="s">
        <v>194</v>
      </c>
      <c r="C25" s="81" t="s">
        <v>222</v>
      </c>
      <c r="D25" s="81"/>
      <c r="E25" s="25"/>
      <c r="F25" s="25"/>
      <c r="G25" s="25"/>
      <c r="H25" s="309"/>
      <c r="I25" s="309"/>
      <c r="J25" s="25"/>
      <c r="K25" s="25"/>
      <c r="L25" s="25"/>
      <c r="M25" s="25"/>
      <c r="N25" s="25"/>
      <c r="O25" s="25"/>
      <c r="P25" s="25"/>
      <c r="Q25" s="25"/>
    </row>
    <row r="26" spans="1:17" ht="12.75">
      <c r="A26" s="77" t="s">
        <v>48</v>
      </c>
      <c r="B26" s="23"/>
      <c r="C26" s="82" t="s">
        <v>176</v>
      </c>
      <c r="D26" s="23" t="s">
        <v>224</v>
      </c>
      <c r="E26" s="90"/>
      <c r="F26" s="90"/>
      <c r="G26" s="90"/>
      <c r="H26" s="311"/>
      <c r="I26" s="311"/>
      <c r="J26" s="90"/>
      <c r="K26" s="90"/>
      <c r="L26" s="90"/>
      <c r="M26" s="90"/>
      <c r="N26" s="80">
        <f aca="true" t="shared" si="5" ref="N26:P31">H26+E26</f>
        <v>0</v>
      </c>
      <c r="O26" s="80">
        <f t="shared" si="5"/>
        <v>0</v>
      </c>
      <c r="P26" s="80">
        <f t="shared" si="5"/>
        <v>0</v>
      </c>
      <c r="Q26" s="80">
        <v>0</v>
      </c>
    </row>
    <row r="27" spans="1:17" ht="12.75">
      <c r="A27" s="77" t="s">
        <v>49</v>
      </c>
      <c r="B27" s="23"/>
      <c r="C27" s="83"/>
      <c r="D27" s="23" t="s">
        <v>225</v>
      </c>
      <c r="E27" s="90"/>
      <c r="F27" s="90"/>
      <c r="G27" s="25"/>
      <c r="H27" s="309"/>
      <c r="I27" s="309"/>
      <c r="J27" s="25"/>
      <c r="K27" s="25"/>
      <c r="L27" s="25"/>
      <c r="M27" s="25"/>
      <c r="N27" s="80">
        <f t="shared" si="5"/>
        <v>0</v>
      </c>
      <c r="O27" s="80">
        <f t="shared" si="5"/>
        <v>0</v>
      </c>
      <c r="P27" s="80">
        <f t="shared" si="5"/>
        <v>0</v>
      </c>
      <c r="Q27" s="80">
        <v>0</v>
      </c>
    </row>
    <row r="28" spans="1:17" ht="12.75">
      <c r="A28" s="77" t="s">
        <v>60</v>
      </c>
      <c r="B28" s="23"/>
      <c r="C28" s="83"/>
      <c r="D28" s="23" t="s">
        <v>226</v>
      </c>
      <c r="E28" s="25"/>
      <c r="F28" s="25"/>
      <c r="G28" s="25"/>
      <c r="H28" s="309"/>
      <c r="I28" s="309"/>
      <c r="J28" s="25"/>
      <c r="K28" s="25"/>
      <c r="L28" s="25"/>
      <c r="M28" s="25"/>
      <c r="N28" s="80">
        <f t="shared" si="5"/>
        <v>0</v>
      </c>
      <c r="O28" s="80">
        <f t="shared" si="5"/>
        <v>0</v>
      </c>
      <c r="P28" s="80">
        <f t="shared" si="5"/>
        <v>0</v>
      </c>
      <c r="Q28" s="80">
        <v>0</v>
      </c>
    </row>
    <row r="29" spans="1:17" ht="12.75">
      <c r="A29" s="77" t="s">
        <v>61</v>
      </c>
      <c r="B29" s="23"/>
      <c r="C29" s="83"/>
      <c r="D29" s="23" t="s">
        <v>227</v>
      </c>
      <c r="E29" s="25"/>
      <c r="F29" s="25"/>
      <c r="G29" s="25"/>
      <c r="H29" s="309"/>
      <c r="I29" s="309"/>
      <c r="J29" s="25"/>
      <c r="K29" s="25"/>
      <c r="L29" s="25"/>
      <c r="M29" s="25"/>
      <c r="N29" s="80">
        <f t="shared" si="5"/>
        <v>0</v>
      </c>
      <c r="O29" s="80">
        <f t="shared" si="5"/>
        <v>0</v>
      </c>
      <c r="P29" s="80">
        <f t="shared" si="5"/>
        <v>0</v>
      </c>
      <c r="Q29" s="80">
        <v>0</v>
      </c>
    </row>
    <row r="30" spans="1:17" ht="12.75">
      <c r="A30" s="77" t="s">
        <v>62</v>
      </c>
      <c r="B30" s="23"/>
      <c r="C30" s="83"/>
      <c r="D30" s="23" t="s">
        <v>284</v>
      </c>
      <c r="E30" s="90">
        <v>3609832</v>
      </c>
      <c r="F30" s="90">
        <v>3609832</v>
      </c>
      <c r="G30" s="25"/>
      <c r="H30" s="309"/>
      <c r="I30" s="309"/>
      <c r="J30" s="25"/>
      <c r="K30" s="25"/>
      <c r="L30" s="25"/>
      <c r="M30" s="25"/>
      <c r="N30" s="80">
        <v>3609832</v>
      </c>
      <c r="O30" s="80">
        <f t="shared" si="5"/>
        <v>3609832</v>
      </c>
      <c r="P30" s="80">
        <f t="shared" si="5"/>
        <v>0</v>
      </c>
      <c r="Q30" s="80">
        <v>0</v>
      </c>
    </row>
    <row r="31" spans="1:17" ht="12.75">
      <c r="A31" s="77" t="s">
        <v>63</v>
      </c>
      <c r="B31" s="23"/>
      <c r="C31" s="83"/>
      <c r="D31" s="89" t="s">
        <v>228</v>
      </c>
      <c r="E31" s="90">
        <v>31114114</v>
      </c>
      <c r="F31" s="90">
        <f>E31</f>
        <v>31114114</v>
      </c>
      <c r="G31" s="90"/>
      <c r="H31" s="311"/>
      <c r="I31" s="311"/>
      <c r="J31" s="90"/>
      <c r="K31" s="90"/>
      <c r="L31" s="90"/>
      <c r="M31" s="90"/>
      <c r="N31" s="80">
        <v>31114114</v>
      </c>
      <c r="O31" s="80">
        <v>31114114</v>
      </c>
      <c r="P31" s="80">
        <f t="shared" si="5"/>
        <v>0</v>
      </c>
      <c r="Q31" s="80">
        <v>0</v>
      </c>
    </row>
    <row r="32" spans="1:17" s="93" customFormat="1" ht="15">
      <c r="A32" s="77" t="s">
        <v>64</v>
      </c>
      <c r="B32" s="92"/>
      <c r="C32" s="85" t="s">
        <v>17</v>
      </c>
      <c r="D32" s="85"/>
      <c r="E32" s="87">
        <f>SUM(E25:E31)</f>
        <v>34723946</v>
      </c>
      <c r="F32" s="87">
        <f aca="true" t="shared" si="6" ref="F32:O32">SUM(F25:F31)</f>
        <v>34723946</v>
      </c>
      <c r="G32" s="87">
        <f t="shared" si="6"/>
        <v>0</v>
      </c>
      <c r="H32" s="310">
        <f t="shared" si="6"/>
        <v>0</v>
      </c>
      <c r="I32" s="310">
        <f t="shared" si="6"/>
        <v>0</v>
      </c>
      <c r="J32" s="87">
        <f>SUM(J25:J31)</f>
        <v>0</v>
      </c>
      <c r="K32" s="87">
        <f t="shared" si="6"/>
        <v>0</v>
      </c>
      <c r="L32" s="87">
        <f t="shared" si="6"/>
        <v>0</v>
      </c>
      <c r="M32" s="87">
        <f t="shared" si="6"/>
        <v>0</v>
      </c>
      <c r="N32" s="87">
        <f t="shared" si="6"/>
        <v>34723946</v>
      </c>
      <c r="O32" s="87">
        <f t="shared" si="6"/>
        <v>34723946</v>
      </c>
      <c r="P32" s="87">
        <f>SUM(P25:P31)</f>
        <v>0</v>
      </c>
      <c r="Q32" s="87">
        <f>SUM(Q25:Q31)</f>
        <v>0</v>
      </c>
    </row>
    <row r="33" spans="1:17" s="93" customFormat="1" ht="15">
      <c r="A33" s="77" t="s">
        <v>65</v>
      </c>
      <c r="B33" s="94" t="s">
        <v>157</v>
      </c>
      <c r="C33" s="85"/>
      <c r="D33" s="85"/>
      <c r="E33" s="87">
        <f>E24+E32</f>
        <v>265479865</v>
      </c>
      <c r="F33" s="87">
        <f aca="true" t="shared" si="7" ref="F33:O33">F24+F32</f>
        <v>263028410</v>
      </c>
      <c r="G33" s="87">
        <f t="shared" si="7"/>
        <v>2451455</v>
      </c>
      <c r="H33" s="310">
        <f t="shared" si="7"/>
        <v>39705055</v>
      </c>
      <c r="I33" s="310">
        <f t="shared" si="7"/>
        <v>39705055</v>
      </c>
      <c r="J33" s="87">
        <f>J24+J32</f>
        <v>0</v>
      </c>
      <c r="K33" s="87">
        <f t="shared" si="7"/>
        <v>0</v>
      </c>
      <c r="L33" s="87">
        <f t="shared" si="7"/>
        <v>0</v>
      </c>
      <c r="M33" s="87">
        <f t="shared" si="7"/>
        <v>0</v>
      </c>
      <c r="N33" s="87">
        <f>N24+N32</f>
        <v>305184920</v>
      </c>
      <c r="O33" s="87">
        <f t="shared" si="7"/>
        <v>302733465</v>
      </c>
      <c r="P33" s="87">
        <f>P24+P32</f>
        <v>2451455</v>
      </c>
      <c r="Q33" s="87">
        <f>Q24+Q32</f>
        <v>0</v>
      </c>
    </row>
    <row r="34" ht="12.75">
      <c r="A34" s="96"/>
    </row>
    <row r="35" spans="1:17" s="74" customFormat="1" ht="30" customHeight="1" hidden="1">
      <c r="A35" s="97"/>
      <c r="B35" s="349"/>
      <c r="C35" s="350"/>
      <c r="D35" s="350"/>
      <c r="E35" s="348" t="s">
        <v>203</v>
      </c>
      <c r="F35" s="348"/>
      <c r="G35" s="348"/>
      <c r="H35" s="348" t="s">
        <v>204</v>
      </c>
      <c r="I35" s="348"/>
      <c r="J35" s="348"/>
      <c r="K35" s="340" t="s">
        <v>206</v>
      </c>
      <c r="L35" s="341"/>
      <c r="M35" s="342"/>
      <c r="N35" s="340" t="s">
        <v>207</v>
      </c>
      <c r="O35" s="341"/>
      <c r="P35" s="341"/>
      <c r="Q35" s="342"/>
    </row>
    <row r="36" spans="1:17" ht="12.75" hidden="1">
      <c r="A36" s="77" t="s">
        <v>81</v>
      </c>
      <c r="B36" s="89" t="s">
        <v>230</v>
      </c>
      <c r="C36" s="83"/>
      <c r="D36" s="23"/>
      <c r="E36" s="98"/>
      <c r="F36" s="99"/>
      <c r="G36" s="24"/>
      <c r="H36" s="316"/>
      <c r="I36" s="317"/>
      <c r="J36" s="99"/>
      <c r="K36" s="98"/>
      <c r="L36" s="99"/>
      <c r="M36" s="24"/>
      <c r="N36" s="98"/>
      <c r="O36" s="99"/>
      <c r="P36" s="99"/>
      <c r="Q36" s="24"/>
    </row>
    <row r="37" spans="1:17" s="68" customFormat="1" ht="12.75" hidden="1">
      <c r="A37" s="77" t="s">
        <v>82</v>
      </c>
      <c r="B37" s="100"/>
      <c r="C37" s="101" t="s">
        <v>232</v>
      </c>
      <c r="D37" s="71"/>
      <c r="E37" s="102"/>
      <c r="F37" s="103">
        <v>14</v>
      </c>
      <c r="G37" s="104"/>
      <c r="H37" s="318"/>
      <c r="I37" s="319">
        <v>71</v>
      </c>
      <c r="J37" s="103"/>
      <c r="K37" s="102"/>
      <c r="L37" s="103"/>
      <c r="M37" s="104"/>
      <c r="N37" s="102"/>
      <c r="O37" s="103">
        <f>SUM(E37:M37)</f>
        <v>85</v>
      </c>
      <c r="P37" s="103"/>
      <c r="Q37" s="104"/>
    </row>
    <row r="38" spans="1:17" s="68" customFormat="1" ht="12.75" hidden="1">
      <c r="A38" s="77" t="s">
        <v>83</v>
      </c>
      <c r="B38" s="100"/>
      <c r="C38" s="101" t="s">
        <v>251</v>
      </c>
      <c r="D38" s="71"/>
      <c r="E38" s="102"/>
      <c r="F38" s="103"/>
      <c r="G38" s="104"/>
      <c r="H38" s="318"/>
      <c r="I38" s="319"/>
      <c r="J38" s="103"/>
      <c r="K38" s="102"/>
      <c r="L38" s="103"/>
      <c r="M38" s="104"/>
      <c r="N38" s="102"/>
      <c r="O38" s="103">
        <f>SUM(E38:M38)</f>
        <v>0</v>
      </c>
      <c r="P38" s="103"/>
      <c r="Q38" s="104"/>
    </row>
    <row r="39" spans="1:17" s="68" customFormat="1" ht="12.75" hidden="1">
      <c r="A39" s="77" t="s">
        <v>159</v>
      </c>
      <c r="B39" s="100"/>
      <c r="C39" s="100" t="s">
        <v>252</v>
      </c>
      <c r="D39" s="71"/>
      <c r="E39" s="102"/>
      <c r="F39" s="103">
        <v>14</v>
      </c>
      <c r="G39" s="104"/>
      <c r="H39" s="318"/>
      <c r="I39" s="319">
        <v>71</v>
      </c>
      <c r="J39" s="103"/>
      <c r="K39" s="102"/>
      <c r="L39" s="103"/>
      <c r="M39" s="104"/>
      <c r="N39" s="102"/>
      <c r="O39" s="103">
        <f>SUM(E39:M39)</f>
        <v>85</v>
      </c>
      <c r="P39" s="103"/>
      <c r="Q39" s="104"/>
    </row>
    <row r="40" spans="1:17" ht="12.75" hidden="1">
      <c r="A40" s="77" t="s">
        <v>168</v>
      </c>
      <c r="B40" s="105" t="s">
        <v>231</v>
      </c>
      <c r="C40" s="28"/>
      <c r="D40" s="23"/>
      <c r="E40" s="98"/>
      <c r="F40" s="103">
        <v>406</v>
      </c>
      <c r="G40" s="24"/>
      <c r="H40" s="316"/>
      <c r="I40" s="317"/>
      <c r="J40" s="99"/>
      <c r="K40" s="98"/>
      <c r="L40" s="99"/>
      <c r="M40" s="24"/>
      <c r="N40" s="98"/>
      <c r="O40" s="103">
        <f>SUM(E40:M40)</f>
        <v>406</v>
      </c>
      <c r="P40" s="103"/>
      <c r="Q40" s="24"/>
    </row>
    <row r="41" ht="12.75" hidden="1">
      <c r="A41" s="96"/>
    </row>
    <row r="42" ht="12.75">
      <c r="A42" s="106"/>
    </row>
    <row r="43" ht="12.75">
      <c r="A43" s="106"/>
    </row>
  </sheetData>
  <sheetProtection/>
  <mergeCells count="14">
    <mergeCell ref="K35:M35"/>
    <mergeCell ref="N35:Q35"/>
    <mergeCell ref="N8:Q8"/>
    <mergeCell ref="B9:D9"/>
    <mergeCell ref="C7:D7"/>
    <mergeCell ref="B35:D35"/>
    <mergeCell ref="E35:G35"/>
    <mergeCell ref="H35:J35"/>
    <mergeCell ref="B3:Q3"/>
    <mergeCell ref="B4:Q4"/>
    <mergeCell ref="B8:D8"/>
    <mergeCell ref="E8:G8"/>
    <mergeCell ref="H8:J8"/>
    <mergeCell ref="K8:M8"/>
  </mergeCells>
  <printOptions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4" r:id="rId1"/>
  <headerFooter>
    <oddHeader>&amp;C&amp;"Arial,Normál"Tiszagyulaháza Község Önkormányzata 2020. évi működési, felhalmozási és finanszírozási kiadások kiemelt előirányzatai
(Ft)&amp;R&amp;"Arial,Normál"3. melléklet
az 1/2021 (II. 24.)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0"/>
  <sheetViews>
    <sheetView zoomScalePageLayoutView="0" workbookViewId="0" topLeftCell="A7">
      <selection activeCell="J10" sqref="J10"/>
    </sheetView>
  </sheetViews>
  <sheetFormatPr defaultColWidth="9.140625" defaultRowHeight="12.75"/>
  <cols>
    <col min="1" max="1" width="3.57421875" style="2" customWidth="1"/>
    <col min="2" max="2" width="21.00390625" style="2" customWidth="1"/>
    <col min="3" max="3" width="52.28125" style="2" customWidth="1"/>
    <col min="4" max="4" width="8.28125" style="2" customWidth="1"/>
    <col min="5" max="5" width="9.7109375" style="2" customWidth="1"/>
    <col min="6" max="6" width="11.8515625" style="2" customWidth="1"/>
    <col min="7" max="7" width="14.421875" style="2" customWidth="1"/>
    <col min="8" max="8" width="2.28125" style="2" customWidth="1"/>
    <col min="9" max="9" width="10.140625" style="2" bestFit="1" customWidth="1"/>
    <col min="10" max="16384" width="9.140625" style="2" customWidth="1"/>
  </cols>
  <sheetData>
    <row r="1" ht="12.75">
      <c r="G1" s="107" t="s">
        <v>262</v>
      </c>
    </row>
    <row r="2" ht="12.75">
      <c r="G2" s="5" t="s">
        <v>373</v>
      </c>
    </row>
    <row r="3" ht="12.75">
      <c r="G3" s="5"/>
    </row>
    <row r="4" spans="2:7" ht="15.75">
      <c r="B4" s="343" t="s">
        <v>331</v>
      </c>
      <c r="C4" s="343"/>
      <c r="D4" s="343"/>
      <c r="E4" s="343"/>
      <c r="F4" s="343"/>
      <c r="G4" s="343"/>
    </row>
    <row r="5" spans="2:7" ht="15.75">
      <c r="B5" s="343" t="s">
        <v>340</v>
      </c>
      <c r="C5" s="343"/>
      <c r="D5" s="343"/>
      <c r="E5" s="343"/>
      <c r="F5" s="343"/>
      <c r="G5" s="343"/>
    </row>
    <row r="6" spans="2:7" ht="15.75">
      <c r="B6" s="67"/>
      <c r="C6" s="67"/>
      <c r="D6" s="67"/>
      <c r="E6" s="67"/>
      <c r="F6" s="67"/>
      <c r="G6" s="67"/>
    </row>
    <row r="8" spans="4:7" ht="12.75" hidden="1">
      <c r="D8" s="352">
        <v>2018</v>
      </c>
      <c r="E8" s="353"/>
      <c r="F8" s="353"/>
      <c r="G8" s="354"/>
    </row>
    <row r="9" spans="2:7" ht="15" customHeight="1" hidden="1">
      <c r="B9" s="108" t="s">
        <v>22</v>
      </c>
      <c r="C9" s="108" t="s">
        <v>23</v>
      </c>
      <c r="D9" s="108" t="s">
        <v>24</v>
      </c>
      <c r="E9" s="108" t="s">
        <v>25</v>
      </c>
      <c r="F9" s="108" t="s">
        <v>26</v>
      </c>
      <c r="G9" s="108" t="s">
        <v>27</v>
      </c>
    </row>
    <row r="10" spans="4:7" ht="39.75" customHeight="1">
      <c r="D10" s="109" t="s">
        <v>89</v>
      </c>
      <c r="E10" s="109" t="s">
        <v>90</v>
      </c>
      <c r="F10" s="109" t="s">
        <v>91</v>
      </c>
      <c r="G10" s="109" t="s">
        <v>327</v>
      </c>
    </row>
    <row r="11" spans="1:7" ht="12.75">
      <c r="A11" s="14" t="s">
        <v>75</v>
      </c>
      <c r="B11" s="110" t="s">
        <v>92</v>
      </c>
      <c r="C11" s="111"/>
      <c r="D11" s="112"/>
      <c r="E11" s="112"/>
      <c r="F11" s="112"/>
      <c r="G11" s="113"/>
    </row>
    <row r="12" spans="1:7" ht="12.75">
      <c r="A12" s="14" t="s">
        <v>50</v>
      </c>
      <c r="B12" s="114" t="s">
        <v>94</v>
      </c>
      <c r="C12" s="81" t="s">
        <v>274</v>
      </c>
      <c r="D12" s="70" t="s">
        <v>95</v>
      </c>
      <c r="E12" s="115"/>
      <c r="F12" s="25">
        <v>25200</v>
      </c>
      <c r="G12" s="25">
        <v>3424680</v>
      </c>
    </row>
    <row r="13" spans="1:7" ht="12.75">
      <c r="A13" s="14" t="s">
        <v>42</v>
      </c>
      <c r="B13" s="114" t="s">
        <v>255</v>
      </c>
      <c r="C13" s="81"/>
      <c r="D13" s="70"/>
      <c r="E13" s="115"/>
      <c r="F13" s="25"/>
      <c r="G13" s="25">
        <f>G12</f>
        <v>3424680</v>
      </c>
    </row>
    <row r="14" spans="1:7" ht="12.75">
      <c r="A14" s="14" t="s">
        <v>43</v>
      </c>
      <c r="B14" s="114" t="s">
        <v>96</v>
      </c>
      <c r="C14" s="81" t="s">
        <v>275</v>
      </c>
      <c r="D14" s="70" t="s">
        <v>164</v>
      </c>
      <c r="E14" s="115">
        <f>G14/F14</f>
        <v>7.2</v>
      </c>
      <c r="F14" s="25">
        <v>400000</v>
      </c>
      <c r="G14" s="25">
        <v>2880000</v>
      </c>
    </row>
    <row r="15" spans="1:7" ht="12.75">
      <c r="A15" s="14" t="s">
        <v>44</v>
      </c>
      <c r="B15" s="114" t="s">
        <v>255</v>
      </c>
      <c r="C15" s="81"/>
      <c r="D15" s="70"/>
      <c r="E15" s="115"/>
      <c r="F15" s="25"/>
      <c r="G15" s="25">
        <f>G14</f>
        <v>2880000</v>
      </c>
    </row>
    <row r="16" spans="1:7" ht="14.25">
      <c r="A16" s="14" t="s">
        <v>29</v>
      </c>
      <c r="B16" s="114" t="s">
        <v>97</v>
      </c>
      <c r="C16" s="81" t="s">
        <v>276</v>
      </c>
      <c r="D16" s="70" t="s">
        <v>358</v>
      </c>
      <c r="E16" s="25"/>
      <c r="F16" s="25"/>
      <c r="G16" s="25">
        <v>1095858</v>
      </c>
    </row>
    <row r="17" spans="1:7" ht="12.75">
      <c r="A17" s="14" t="s">
        <v>30</v>
      </c>
      <c r="B17" s="114" t="s">
        <v>255</v>
      </c>
      <c r="C17" s="81"/>
      <c r="D17" s="70"/>
      <c r="E17" s="115"/>
      <c r="F17" s="25"/>
      <c r="G17" s="25">
        <f>G16</f>
        <v>1095858</v>
      </c>
    </row>
    <row r="18" spans="1:7" ht="12.75">
      <c r="A18" s="14" t="s">
        <v>31</v>
      </c>
      <c r="B18" s="114" t="s">
        <v>98</v>
      </c>
      <c r="C18" s="81" t="s">
        <v>277</v>
      </c>
      <c r="D18" s="70" t="s">
        <v>164</v>
      </c>
      <c r="E18" s="116"/>
      <c r="F18" s="25"/>
      <c r="G18" s="25">
        <v>1904530</v>
      </c>
    </row>
    <row r="19" spans="1:9" ht="12.75">
      <c r="A19" s="14" t="s">
        <v>32</v>
      </c>
      <c r="B19" s="114" t="s">
        <v>255</v>
      </c>
      <c r="C19" s="81"/>
      <c r="D19" s="70"/>
      <c r="E19" s="116"/>
      <c r="F19" s="25"/>
      <c r="G19" s="25">
        <f>G18</f>
        <v>1904530</v>
      </c>
      <c r="I19" s="3"/>
    </row>
    <row r="20" spans="1:7" ht="12.75">
      <c r="A20" s="14" t="s">
        <v>8</v>
      </c>
      <c r="B20" s="114" t="s">
        <v>99</v>
      </c>
      <c r="C20" s="81" t="s">
        <v>278</v>
      </c>
      <c r="D20" s="70" t="s">
        <v>93</v>
      </c>
      <c r="E20" s="25"/>
      <c r="F20" s="25"/>
      <c r="G20" s="25">
        <v>5000000</v>
      </c>
    </row>
    <row r="21" spans="1:7" ht="12.75">
      <c r="A21" s="14" t="s">
        <v>9</v>
      </c>
      <c r="B21" s="114" t="s">
        <v>255</v>
      </c>
      <c r="C21" s="81"/>
      <c r="D21" s="70"/>
      <c r="E21" s="25"/>
      <c r="F21" s="25"/>
      <c r="G21" s="25">
        <v>5000000</v>
      </c>
    </row>
    <row r="22" spans="1:7" ht="12.75">
      <c r="A22" s="14" t="s">
        <v>10</v>
      </c>
      <c r="B22" s="114" t="s">
        <v>256</v>
      </c>
      <c r="C22" s="81" t="s">
        <v>171</v>
      </c>
      <c r="D22" s="70" t="s">
        <v>93</v>
      </c>
      <c r="E22" s="25">
        <f>G22/F22</f>
        <v>2</v>
      </c>
      <c r="F22" s="25">
        <v>2550</v>
      </c>
      <c r="G22" s="25">
        <v>5100</v>
      </c>
    </row>
    <row r="23" spans="1:7" ht="12.75">
      <c r="A23" s="14" t="s">
        <v>11</v>
      </c>
      <c r="B23" s="114" t="s">
        <v>255</v>
      </c>
      <c r="C23" s="81"/>
      <c r="D23" s="70"/>
      <c r="E23" s="25"/>
      <c r="F23" s="25"/>
      <c r="G23" s="25">
        <v>5100</v>
      </c>
    </row>
    <row r="24" spans="1:7" ht="12.75">
      <c r="A24" s="14" t="s">
        <v>45</v>
      </c>
      <c r="B24" s="114" t="s">
        <v>302</v>
      </c>
      <c r="C24" s="81" t="s">
        <v>303</v>
      </c>
      <c r="D24" s="70"/>
      <c r="E24" s="116"/>
      <c r="F24" s="25"/>
      <c r="G24" s="25">
        <v>4172328</v>
      </c>
    </row>
    <row r="25" spans="1:7" ht="12.75">
      <c r="A25" s="14" t="s">
        <v>46</v>
      </c>
      <c r="B25" s="114" t="s">
        <v>304</v>
      </c>
      <c r="C25" s="83" t="s">
        <v>360</v>
      </c>
      <c r="D25" s="70"/>
      <c r="E25" s="116"/>
      <c r="F25" s="25"/>
      <c r="G25" s="25">
        <v>15538</v>
      </c>
    </row>
    <row r="26" spans="1:7" ht="12.75">
      <c r="A26" s="14" t="s">
        <v>47</v>
      </c>
      <c r="B26" s="114" t="s">
        <v>288</v>
      </c>
      <c r="C26" s="83" t="s">
        <v>289</v>
      </c>
      <c r="D26" s="70"/>
      <c r="E26" s="25"/>
      <c r="F26" s="25"/>
      <c r="G26" s="25">
        <v>1024800</v>
      </c>
    </row>
    <row r="27" spans="1:7" ht="12.75">
      <c r="A27" s="14" t="s">
        <v>48</v>
      </c>
      <c r="B27" s="110" t="s">
        <v>100</v>
      </c>
      <c r="C27" s="117"/>
      <c r="D27" s="118"/>
      <c r="E27" s="119"/>
      <c r="F27" s="120"/>
      <c r="G27" s="121">
        <f>G13+G15+G17+G19+G21+G23+G24+G25+G26</f>
        <v>19522834</v>
      </c>
    </row>
    <row r="28" spans="4:7" ht="4.5" customHeight="1">
      <c r="D28" s="68"/>
      <c r="E28" s="122"/>
      <c r="F28" s="3"/>
      <c r="G28" s="123"/>
    </row>
    <row r="29" spans="1:7" ht="12.75">
      <c r="A29" s="14" t="s">
        <v>49</v>
      </c>
      <c r="B29" s="110" t="s">
        <v>170</v>
      </c>
      <c r="C29" s="111"/>
      <c r="D29" s="124"/>
      <c r="E29" s="125"/>
      <c r="F29" s="126"/>
      <c r="G29" s="127"/>
    </row>
    <row r="30" spans="1:8" ht="12.75">
      <c r="A30" s="14" t="s">
        <v>60</v>
      </c>
      <c r="B30" s="114" t="s">
        <v>165</v>
      </c>
      <c r="C30" s="81" t="s">
        <v>101</v>
      </c>
      <c r="D30" s="70" t="s">
        <v>93</v>
      </c>
      <c r="E30" s="115">
        <v>2.7</v>
      </c>
      <c r="F30" s="25">
        <v>4371500</v>
      </c>
      <c r="G30" s="25">
        <f>ROUND((E30*F30)*(8/12),0)</f>
        <v>7868700</v>
      </c>
      <c r="H30" s="128"/>
    </row>
    <row r="31" spans="1:8" ht="12.75">
      <c r="A31" s="14" t="s">
        <v>61</v>
      </c>
      <c r="B31" s="114" t="s">
        <v>165</v>
      </c>
      <c r="C31" s="81" t="s">
        <v>103</v>
      </c>
      <c r="D31" s="70" t="s">
        <v>93</v>
      </c>
      <c r="E31" s="115">
        <v>1</v>
      </c>
      <c r="F31" s="25">
        <v>2400000</v>
      </c>
      <c r="G31" s="25">
        <f>ROUND((E31*F31)*(8/12),0)</f>
        <v>1600000</v>
      </c>
      <c r="H31" s="128"/>
    </row>
    <row r="32" spans="1:8" ht="12.75">
      <c r="A32" s="14" t="s">
        <v>62</v>
      </c>
      <c r="B32" s="114" t="s">
        <v>165</v>
      </c>
      <c r="C32" s="81" t="s">
        <v>102</v>
      </c>
      <c r="D32" s="70" t="s">
        <v>93</v>
      </c>
      <c r="E32" s="115">
        <v>2.7</v>
      </c>
      <c r="F32" s="25">
        <v>4371500</v>
      </c>
      <c r="G32" s="25">
        <f>ROUND((E32*F32)*(4/12),0)</f>
        <v>3934350</v>
      </c>
      <c r="H32" s="128"/>
    </row>
    <row r="33" spans="1:8" ht="12.75">
      <c r="A33" s="14" t="s">
        <v>63</v>
      </c>
      <c r="B33" s="114" t="s">
        <v>165</v>
      </c>
      <c r="C33" s="81" t="s">
        <v>104</v>
      </c>
      <c r="D33" s="70" t="s">
        <v>93</v>
      </c>
      <c r="E33" s="115">
        <v>1</v>
      </c>
      <c r="F33" s="25">
        <v>2400000</v>
      </c>
      <c r="G33" s="25">
        <f>ROUND((E33*F33)*(4/12),0)</f>
        <v>800000</v>
      </c>
      <c r="H33" s="128"/>
    </row>
    <row r="34" spans="1:8" ht="12.75">
      <c r="A34" s="14" t="s">
        <v>64</v>
      </c>
      <c r="B34" s="114" t="s">
        <v>105</v>
      </c>
      <c r="C34" s="81" t="s">
        <v>106</v>
      </c>
      <c r="D34" s="70" t="s">
        <v>93</v>
      </c>
      <c r="E34" s="25">
        <v>26</v>
      </c>
      <c r="F34" s="25">
        <v>97400</v>
      </c>
      <c r="G34" s="25">
        <v>1688267</v>
      </c>
      <c r="H34" s="128"/>
    </row>
    <row r="35" spans="1:8" ht="12.75">
      <c r="A35" s="14" t="s">
        <v>65</v>
      </c>
      <c r="B35" s="114" t="s">
        <v>105</v>
      </c>
      <c r="C35" s="81" t="s">
        <v>107</v>
      </c>
      <c r="D35" s="70" t="s">
        <v>93</v>
      </c>
      <c r="E35" s="25">
        <v>25</v>
      </c>
      <c r="F35" s="25">
        <v>97400</v>
      </c>
      <c r="G35" s="25">
        <v>814913</v>
      </c>
      <c r="H35" s="128"/>
    </row>
    <row r="36" spans="1:8" ht="12.75">
      <c r="A36" s="14" t="s">
        <v>66</v>
      </c>
      <c r="B36" s="114"/>
      <c r="C36" s="83" t="s">
        <v>354</v>
      </c>
      <c r="D36" s="100"/>
      <c r="E36" s="99"/>
      <c r="F36" s="24"/>
      <c r="G36" s="25">
        <v>1057550</v>
      </c>
      <c r="H36" s="129"/>
    </row>
    <row r="37" spans="1:7" ht="12.75">
      <c r="A37" s="14" t="s">
        <v>67</v>
      </c>
      <c r="B37" s="110" t="s">
        <v>169</v>
      </c>
      <c r="C37" s="117"/>
      <c r="D37" s="118"/>
      <c r="E37" s="119"/>
      <c r="F37" s="120"/>
      <c r="G37" s="121">
        <f>SUM(G30:G36)</f>
        <v>17763780</v>
      </c>
    </row>
    <row r="38" spans="1:7" ht="4.5" customHeight="1">
      <c r="A38" s="2">
        <v>27</v>
      </c>
      <c r="D38" s="68"/>
      <c r="E38" s="122"/>
      <c r="F38" s="3"/>
      <c r="G38" s="123"/>
    </row>
    <row r="39" spans="1:7" ht="12.75">
      <c r="A39" s="14" t="s">
        <v>84</v>
      </c>
      <c r="B39" s="110" t="s">
        <v>108</v>
      </c>
      <c r="C39" s="111"/>
      <c r="D39" s="124"/>
      <c r="E39" s="125"/>
      <c r="F39" s="126"/>
      <c r="G39" s="127"/>
    </row>
    <row r="40" spans="1:8" s="46" customFormat="1" ht="12.75">
      <c r="A40" s="14" t="s">
        <v>85</v>
      </c>
      <c r="B40" s="114" t="s">
        <v>109</v>
      </c>
      <c r="C40" s="130" t="s">
        <v>257</v>
      </c>
      <c r="D40" s="131"/>
      <c r="E40" s="132"/>
      <c r="F40" s="133"/>
      <c r="G40" s="133">
        <v>3879200</v>
      </c>
      <c r="H40" s="134"/>
    </row>
    <row r="41" spans="1:8" ht="12.75">
      <c r="A41" s="14" t="s">
        <v>86</v>
      </c>
      <c r="B41" s="114" t="s">
        <v>267</v>
      </c>
      <c r="C41" s="81" t="s">
        <v>166</v>
      </c>
      <c r="D41" s="70"/>
      <c r="E41" s="116">
        <v>2.84</v>
      </c>
      <c r="F41" s="25">
        <v>2200000</v>
      </c>
      <c r="G41" s="25">
        <f>5368000+499840</f>
        <v>5867840</v>
      </c>
      <c r="H41" s="128"/>
    </row>
    <row r="42" spans="1:8" ht="12.75">
      <c r="A42" s="14" t="s">
        <v>87</v>
      </c>
      <c r="B42" s="114" t="s">
        <v>268</v>
      </c>
      <c r="C42" s="81" t="s">
        <v>167</v>
      </c>
      <c r="D42" s="70"/>
      <c r="E42" s="25"/>
      <c r="F42" s="25"/>
      <c r="G42" s="25">
        <v>3219402</v>
      </c>
      <c r="H42" s="128"/>
    </row>
    <row r="43" spans="1:8" ht="12.75">
      <c r="A43" s="14" t="s">
        <v>88</v>
      </c>
      <c r="B43" s="114" t="s">
        <v>279</v>
      </c>
      <c r="C43" s="81" t="s">
        <v>269</v>
      </c>
      <c r="D43" s="70"/>
      <c r="E43" s="25">
        <v>643</v>
      </c>
      <c r="F43" s="25">
        <v>570</v>
      </c>
      <c r="G43" s="25">
        <v>352830</v>
      </c>
      <c r="H43" s="128"/>
    </row>
    <row r="44" spans="1:7" ht="12.75">
      <c r="A44" s="14" t="s">
        <v>79</v>
      </c>
      <c r="B44" s="110" t="s">
        <v>110</v>
      </c>
      <c r="C44" s="117"/>
      <c r="D44" s="135"/>
      <c r="E44" s="119"/>
      <c r="F44" s="136"/>
      <c r="G44" s="121">
        <f>SUM(G40:G43)</f>
        <v>13319272</v>
      </c>
    </row>
    <row r="45" spans="5:7" ht="4.5" customHeight="1">
      <c r="E45" s="122"/>
      <c r="G45" s="123"/>
    </row>
    <row r="46" spans="1:7" ht="12.75">
      <c r="A46" s="14" t="s">
        <v>80</v>
      </c>
      <c r="B46" s="110" t="s">
        <v>111</v>
      </c>
      <c r="C46" s="111"/>
      <c r="D46" s="112"/>
      <c r="E46" s="125"/>
      <c r="F46" s="112"/>
      <c r="G46" s="113"/>
    </row>
    <row r="47" spans="1:7" ht="12.75">
      <c r="A47" s="14" t="s">
        <v>78</v>
      </c>
      <c r="B47" s="114" t="s">
        <v>112</v>
      </c>
      <c r="C47" s="81" t="s">
        <v>113</v>
      </c>
      <c r="D47" s="70" t="s">
        <v>93</v>
      </c>
      <c r="E47" s="25"/>
      <c r="F47" s="25"/>
      <c r="G47" s="25">
        <v>1800000</v>
      </c>
    </row>
    <row r="48" spans="1:7" ht="12.75">
      <c r="A48" s="14" t="s">
        <v>355</v>
      </c>
      <c r="B48" s="114"/>
      <c r="C48" s="83" t="s">
        <v>354</v>
      </c>
      <c r="D48" s="100"/>
      <c r="E48" s="99"/>
      <c r="F48" s="24"/>
      <c r="G48" s="25">
        <v>308740</v>
      </c>
    </row>
    <row r="49" spans="1:7" ht="12.75">
      <c r="A49" s="14" t="s">
        <v>81</v>
      </c>
      <c r="B49" s="110" t="s">
        <v>114</v>
      </c>
      <c r="C49" s="117"/>
      <c r="D49" s="135"/>
      <c r="E49" s="119"/>
      <c r="F49" s="136"/>
      <c r="G49" s="121">
        <f>SUM(G47:G48)</f>
        <v>2108740</v>
      </c>
    </row>
    <row r="50" spans="1:7" ht="0.75" customHeight="1">
      <c r="A50" s="14"/>
      <c r="B50" s="137"/>
      <c r="C50" s="138"/>
      <c r="D50" s="138"/>
      <c r="E50" s="139"/>
      <c r="F50" s="138"/>
      <c r="G50" s="140"/>
    </row>
    <row r="51" spans="1:7" ht="12.75" hidden="1">
      <c r="A51" s="14" t="s">
        <v>239</v>
      </c>
      <c r="B51" s="110" t="s">
        <v>115</v>
      </c>
      <c r="C51" s="111"/>
      <c r="D51" s="112"/>
      <c r="E51" s="125"/>
      <c r="F51" s="112"/>
      <c r="G51" s="113"/>
    </row>
    <row r="52" spans="1:7" ht="12.75" hidden="1">
      <c r="A52" s="14" t="s">
        <v>240</v>
      </c>
      <c r="B52" s="114" t="s">
        <v>116</v>
      </c>
      <c r="C52" s="81" t="s">
        <v>117</v>
      </c>
      <c r="D52" s="81"/>
      <c r="E52" s="115"/>
      <c r="F52" s="25"/>
      <c r="G52" s="25"/>
    </row>
    <row r="53" spans="1:7" ht="12.75" hidden="1">
      <c r="A53" s="14" t="s">
        <v>241</v>
      </c>
      <c r="B53" s="141" t="s">
        <v>174</v>
      </c>
      <c r="C53" s="81" t="s">
        <v>172</v>
      </c>
      <c r="D53" s="81"/>
      <c r="E53" s="115"/>
      <c r="F53" s="25"/>
      <c r="G53" s="25"/>
    </row>
    <row r="54" spans="1:7" ht="12.75" hidden="1">
      <c r="A54" s="14" t="s">
        <v>242</v>
      </c>
      <c r="B54" s="141" t="s">
        <v>175</v>
      </c>
      <c r="C54" s="81" t="s">
        <v>171</v>
      </c>
      <c r="D54" s="70"/>
      <c r="E54" s="115"/>
      <c r="F54" s="25"/>
      <c r="G54" s="25"/>
    </row>
    <row r="55" spans="1:7" ht="12.75" hidden="1">
      <c r="A55" s="14" t="s">
        <v>243</v>
      </c>
      <c r="B55" s="110" t="s">
        <v>118</v>
      </c>
      <c r="C55" s="117"/>
      <c r="D55" s="135"/>
      <c r="E55" s="135"/>
      <c r="F55" s="136"/>
      <c r="G55" s="121">
        <f>SUM(G52:G54)</f>
        <v>0</v>
      </c>
    </row>
    <row r="56" ht="30.75" customHeight="1" hidden="1"/>
    <row r="57" spans="1:7" ht="12.75">
      <c r="A57" s="14" t="s">
        <v>81</v>
      </c>
      <c r="B57" s="110" t="s">
        <v>361</v>
      </c>
      <c r="C57" s="117"/>
      <c r="D57" s="135"/>
      <c r="E57" s="119"/>
      <c r="F57" s="136"/>
      <c r="G57" s="121">
        <f>SUM(G55:G56)</f>
        <v>0</v>
      </c>
    </row>
    <row r="58" spans="1:7" s="305" customFormat="1" ht="12.75">
      <c r="A58" s="301"/>
      <c r="B58" s="306" t="s">
        <v>362</v>
      </c>
      <c r="C58" s="302" t="s">
        <v>363</v>
      </c>
      <c r="D58" s="303"/>
      <c r="E58" s="304"/>
      <c r="F58" s="303"/>
      <c r="G58" s="307">
        <v>3065700</v>
      </c>
    </row>
    <row r="59" spans="1:7" s="305" customFormat="1" ht="12.75">
      <c r="A59" s="301"/>
      <c r="B59" s="306" t="s">
        <v>364</v>
      </c>
      <c r="C59" s="302" t="s">
        <v>365</v>
      </c>
      <c r="D59" s="303"/>
      <c r="E59" s="304"/>
      <c r="F59" s="303"/>
      <c r="G59" s="307">
        <v>730250</v>
      </c>
    </row>
    <row r="60" spans="1:7" ht="12.75">
      <c r="A60" s="14" t="s">
        <v>81</v>
      </c>
      <c r="B60" s="110" t="s">
        <v>366</v>
      </c>
      <c r="C60" s="117"/>
      <c r="D60" s="135"/>
      <c r="E60" s="119"/>
      <c r="F60" s="136"/>
      <c r="G60" s="121">
        <f>SUM(G58:G59)</f>
        <v>3795950</v>
      </c>
    </row>
    <row r="61" spans="1:7" ht="15" customHeight="1">
      <c r="A61" s="14" t="s">
        <v>82</v>
      </c>
      <c r="B61" s="110" t="s">
        <v>119</v>
      </c>
      <c r="C61" s="111"/>
      <c r="D61" s="112"/>
      <c r="E61" s="112"/>
      <c r="F61" s="112"/>
      <c r="G61" s="121">
        <f>SUM(G49+G44+G37+G27+G60)</f>
        <v>56510576</v>
      </c>
    </row>
    <row r="62" spans="1:7" s="46" customFormat="1" ht="15" customHeight="1" hidden="1">
      <c r="A62" s="142"/>
      <c r="B62" s="137"/>
      <c r="C62" s="137"/>
      <c r="D62" s="137"/>
      <c r="E62" s="137"/>
      <c r="F62" s="137"/>
      <c r="G62" s="140"/>
    </row>
    <row r="63" spans="2:6" ht="12.75" hidden="1">
      <c r="B63" s="2">
        <v>2014</v>
      </c>
      <c r="D63" s="137"/>
      <c r="E63" s="137"/>
      <c r="F63" s="137"/>
    </row>
    <row r="64" spans="2:6" ht="12.75" hidden="1">
      <c r="B64" s="3">
        <v>20565375857</v>
      </c>
      <c r="D64" s="137"/>
      <c r="E64" s="137"/>
      <c r="F64" s="137"/>
    </row>
    <row r="65" spans="2:6" ht="12.75" hidden="1">
      <c r="B65" s="3">
        <f>B64*0.005</f>
        <v>102826879.285</v>
      </c>
      <c r="D65" s="137"/>
      <c r="E65" s="137"/>
      <c r="F65" s="137"/>
    </row>
    <row r="66" spans="4:7" ht="12.75" customHeight="1" hidden="1">
      <c r="D66" s="137"/>
      <c r="E66" s="137"/>
      <c r="F66" s="137"/>
      <c r="G66" s="3"/>
    </row>
    <row r="67" spans="4:7" ht="12.75" customHeight="1" hidden="1">
      <c r="D67" s="137"/>
      <c r="E67" s="137"/>
      <c r="F67" s="137"/>
      <c r="G67" s="3"/>
    </row>
    <row r="68" spans="2:7" ht="12.75" customHeight="1" hidden="1">
      <c r="B68" s="2">
        <v>2014</v>
      </c>
      <c r="D68" s="137"/>
      <c r="E68" s="137"/>
      <c r="F68" s="137"/>
      <c r="G68" s="3"/>
    </row>
    <row r="69" spans="2:6" ht="12.75" hidden="1">
      <c r="B69" s="3">
        <v>20927683402</v>
      </c>
      <c r="D69" s="137"/>
      <c r="E69" s="137"/>
      <c r="F69" s="137"/>
    </row>
    <row r="70" ht="12.75" hidden="1">
      <c r="B70" s="3">
        <f>B69*0.005</f>
        <v>104638417.01</v>
      </c>
    </row>
    <row r="71" ht="12.75" hidden="1">
      <c r="B71" s="3"/>
    </row>
    <row r="72" ht="12.75" hidden="1">
      <c r="B72" s="2">
        <v>2015</v>
      </c>
    </row>
    <row r="73" ht="12.75" hidden="1">
      <c r="B73" s="3">
        <v>21453631993</v>
      </c>
    </row>
    <row r="74" ht="12.75" hidden="1">
      <c r="B74" s="3">
        <f>B73*0.0055</f>
        <v>117994975.96149999</v>
      </c>
    </row>
    <row r="75" spans="2:5" ht="12.75" hidden="1">
      <c r="B75" s="3">
        <f>B74*0.6</f>
        <v>70796985.57689999</v>
      </c>
      <c r="D75" s="351"/>
      <c r="E75" s="351"/>
    </row>
    <row r="76" spans="2:5" ht="12.75" hidden="1">
      <c r="B76" s="3"/>
      <c r="D76" s="351"/>
      <c r="E76" s="351"/>
    </row>
    <row r="77" spans="2:5" ht="12.75" hidden="1">
      <c r="B77" s="3">
        <v>300350848</v>
      </c>
      <c r="D77" s="351"/>
      <c r="E77" s="351"/>
    </row>
    <row r="78" spans="2:5" ht="12.75" hidden="1">
      <c r="B78" s="3">
        <f>B77/17564</f>
        <v>17100.367114552493</v>
      </c>
      <c r="D78" s="3"/>
      <c r="E78" s="3"/>
    </row>
    <row r="79" ht="12.75" hidden="1"/>
    <row r="80" spans="2:7" ht="12.75" hidden="1">
      <c r="B80" s="74" t="s">
        <v>290</v>
      </c>
      <c r="C80" s="3"/>
      <c r="G80" s="3"/>
    </row>
    <row r="81" spans="1:8" ht="12.75" hidden="1">
      <c r="A81" s="68"/>
      <c r="B81" s="2" t="s">
        <v>291</v>
      </c>
      <c r="C81" s="3">
        <v>23590777616</v>
      </c>
      <c r="H81" s="68"/>
    </row>
    <row r="82" spans="1:8" ht="12.75" hidden="1">
      <c r="A82" s="68"/>
      <c r="B82" s="2" t="s">
        <v>292</v>
      </c>
      <c r="C82" s="3">
        <f>C81*0.014</f>
        <v>330270886.624</v>
      </c>
      <c r="H82" s="68"/>
    </row>
    <row r="83" spans="1:8" ht="12.75" hidden="1">
      <c r="A83" s="68"/>
      <c r="B83" s="2" t="s">
        <v>293</v>
      </c>
      <c r="C83" s="3">
        <v>17284</v>
      </c>
      <c r="H83" s="68"/>
    </row>
    <row r="84" spans="2:8" ht="12.75" hidden="1">
      <c r="B84" s="2" t="s">
        <v>294</v>
      </c>
      <c r="C84" s="3">
        <f>C82/C83</f>
        <v>19108.475273316362</v>
      </c>
      <c r="H84" s="68"/>
    </row>
    <row r="85" spans="3:8" ht="12.75" hidden="1">
      <c r="C85" s="3"/>
      <c r="H85" s="68"/>
    </row>
    <row r="86" spans="2:8" ht="12.75" hidden="1">
      <c r="B86" s="2" t="s">
        <v>295</v>
      </c>
      <c r="C86" s="3">
        <f>C81*0.0055</f>
        <v>129749276.888</v>
      </c>
      <c r="H86" s="68"/>
    </row>
    <row r="87" spans="2:8" ht="12.75" hidden="1">
      <c r="B87" s="2" t="s">
        <v>296</v>
      </c>
      <c r="C87" s="3">
        <f>C86*0.5</f>
        <v>64874638.444</v>
      </c>
      <c r="H87" s="68"/>
    </row>
    <row r="88" ht="12.75" hidden="1">
      <c r="C88" s="3"/>
    </row>
    <row r="89" spans="2:3" ht="12.75" hidden="1">
      <c r="B89" s="2" t="s">
        <v>297</v>
      </c>
      <c r="C89" s="3">
        <f>C81*0.02</f>
        <v>471815552.32</v>
      </c>
    </row>
    <row r="90" spans="2:3" ht="12.75" hidden="1">
      <c r="B90" s="2" t="s">
        <v>298</v>
      </c>
      <c r="C90" s="3">
        <v>468175000</v>
      </c>
    </row>
    <row r="91" ht="12.75" hidden="1">
      <c r="C91" s="3"/>
    </row>
    <row r="92" ht="12.75">
      <c r="C92" s="3"/>
    </row>
    <row r="93" ht="12.75" hidden="1">
      <c r="B93" s="68"/>
    </row>
    <row r="94" spans="2:6" ht="12.75" hidden="1">
      <c r="B94" s="68"/>
      <c r="D94" s="143" t="s">
        <v>299</v>
      </c>
      <c r="E94" s="143" t="s">
        <v>300</v>
      </c>
      <c r="F94" s="143" t="s">
        <v>301</v>
      </c>
    </row>
    <row r="95" spans="4:6" ht="12.75" hidden="1">
      <c r="D95" s="144">
        <f>G37/1000</f>
        <v>17763.78</v>
      </c>
      <c r="E95" s="144">
        <v>270631</v>
      </c>
      <c r="F95" s="144">
        <f>E95-D95</f>
        <v>252867.22</v>
      </c>
    </row>
    <row r="96" spans="4:6" ht="12.75" hidden="1">
      <c r="D96" s="144" t="e">
        <f>SUM(#REF!)/1000</f>
        <v>#REF!</v>
      </c>
      <c r="E96" s="144">
        <v>112665</v>
      </c>
      <c r="F96" s="144" t="e">
        <f>E96-D96</f>
        <v>#REF!</v>
      </c>
    </row>
    <row r="97" spans="4:6" ht="12.75" hidden="1">
      <c r="D97" s="144">
        <f>SUM(G41:G43)/1000</f>
        <v>9440.072</v>
      </c>
      <c r="E97" s="144">
        <v>191316</v>
      </c>
      <c r="F97" s="144">
        <f>E97-D97</f>
        <v>181875.928</v>
      </c>
    </row>
    <row r="98" spans="4:6" ht="12.75" hidden="1">
      <c r="D98" s="144"/>
      <c r="E98" s="144"/>
      <c r="F98" s="144"/>
    </row>
    <row r="99" spans="4:6" ht="12.75">
      <c r="D99" s="143"/>
      <c r="E99" s="143"/>
      <c r="F99" s="143"/>
    </row>
    <row r="100" spans="4:7" ht="12.75">
      <c r="D100" s="143"/>
      <c r="E100" s="143"/>
      <c r="F100" s="143"/>
      <c r="G100" s="3"/>
    </row>
  </sheetData>
  <sheetProtection/>
  <mergeCells count="6">
    <mergeCell ref="D75:E75"/>
    <mergeCell ref="D76:E76"/>
    <mergeCell ref="D77:E77"/>
    <mergeCell ref="B5:G5"/>
    <mergeCell ref="D8:G8"/>
    <mergeCell ref="B4:G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"/>
  <sheetViews>
    <sheetView zoomScalePageLayoutView="0" workbookViewId="0" topLeftCell="A4">
      <selection activeCell="P24" sqref="P24"/>
    </sheetView>
  </sheetViews>
  <sheetFormatPr defaultColWidth="9.140625" defaultRowHeight="12.75"/>
  <cols>
    <col min="1" max="1" width="4.7109375" style="145" customWidth="1"/>
    <col min="2" max="2" width="66.140625" style="2" customWidth="1"/>
    <col min="3" max="8" width="14.7109375" style="2" customWidth="1"/>
    <col min="9" max="9" width="5.7109375" style="2" customWidth="1"/>
    <col min="10" max="13" width="12.7109375" style="3" hidden="1" customWidth="1"/>
    <col min="14" max="16384" width="9.140625" style="2" customWidth="1"/>
  </cols>
  <sheetData>
    <row r="1" ht="12.75">
      <c r="H1" s="146" t="s">
        <v>244</v>
      </c>
    </row>
    <row r="2" spans="6:8" ht="12.75">
      <c r="F2" s="147"/>
      <c r="G2" s="148"/>
      <c r="H2" s="5" t="s">
        <v>374</v>
      </c>
    </row>
    <row r="3" spans="2:8" ht="12.75">
      <c r="B3" s="149"/>
      <c r="H3" s="107"/>
    </row>
    <row r="5" spans="2:8" ht="15.75">
      <c r="B5" s="343" t="s">
        <v>334</v>
      </c>
      <c r="C5" s="343"/>
      <c r="D5" s="343"/>
      <c r="E5" s="343"/>
      <c r="F5" s="343"/>
      <c r="G5" s="343"/>
      <c r="H5" s="343"/>
    </row>
    <row r="6" spans="2:8" ht="15.75">
      <c r="B6" s="343" t="s">
        <v>52</v>
      </c>
      <c r="C6" s="343"/>
      <c r="D6" s="343"/>
      <c r="E6" s="343"/>
      <c r="F6" s="343"/>
      <c r="G6" s="343"/>
      <c r="H6" s="343"/>
    </row>
    <row r="7" spans="2:8" ht="14.25">
      <c r="B7" s="355" t="s">
        <v>260</v>
      </c>
      <c r="C7" s="355"/>
      <c r="D7" s="355"/>
      <c r="E7" s="355"/>
      <c r="F7" s="355"/>
      <c r="G7" s="355"/>
      <c r="H7" s="355"/>
    </row>
    <row r="9" spans="1:13" s="68" customFormat="1" ht="19.5" customHeight="1" thickBot="1">
      <c r="A9" s="145"/>
      <c r="B9" s="151" t="s">
        <v>22</v>
      </c>
      <c r="C9" s="151" t="s">
        <v>23</v>
      </c>
      <c r="D9" s="151" t="s">
        <v>24</v>
      </c>
      <c r="E9" s="151" t="s">
        <v>25</v>
      </c>
      <c r="F9" s="151" t="s">
        <v>26</v>
      </c>
      <c r="G9" s="151" t="s">
        <v>27</v>
      </c>
      <c r="H9" s="151" t="s">
        <v>28</v>
      </c>
      <c r="J9" s="69" t="s">
        <v>124</v>
      </c>
      <c r="K9" s="69" t="s">
        <v>317</v>
      </c>
      <c r="L9" s="69" t="s">
        <v>318</v>
      </c>
      <c r="M9" s="69" t="s">
        <v>68</v>
      </c>
    </row>
    <row r="10" spans="1:13" s="74" customFormat="1" ht="19.5" customHeight="1" thickTop="1">
      <c r="A10" s="356"/>
      <c r="B10" s="152" t="s">
        <v>53</v>
      </c>
      <c r="C10" s="153" t="s">
        <v>54</v>
      </c>
      <c r="D10" s="358" t="s">
        <v>55</v>
      </c>
      <c r="E10" s="359"/>
      <c r="F10" s="153" t="s">
        <v>56</v>
      </c>
      <c r="G10" s="153" t="s">
        <v>335</v>
      </c>
      <c r="H10" s="153" t="s">
        <v>336</v>
      </c>
      <c r="J10" s="123"/>
      <c r="K10" s="123"/>
      <c r="L10" s="123"/>
      <c r="M10" s="123"/>
    </row>
    <row r="11" spans="1:13" s="74" customFormat="1" ht="19.5" customHeight="1" thickBot="1">
      <c r="A11" s="357"/>
      <c r="B11" s="154"/>
      <c r="C11" s="155"/>
      <c r="D11" s="156" t="s">
        <v>57</v>
      </c>
      <c r="E11" s="157" t="s">
        <v>58</v>
      </c>
      <c r="F11" s="155" t="s">
        <v>346</v>
      </c>
      <c r="G11" s="155" t="s">
        <v>6</v>
      </c>
      <c r="H11" s="155" t="s">
        <v>59</v>
      </c>
      <c r="J11" s="123"/>
      <c r="K11" s="123"/>
      <c r="L11" s="123"/>
      <c r="M11" s="3"/>
    </row>
    <row r="12" spans="1:13" ht="14.25" thickBot="1" thickTop="1">
      <c r="A12" s="14" t="s">
        <v>192</v>
      </c>
      <c r="B12" s="187" t="s">
        <v>369</v>
      </c>
      <c r="C12" s="172">
        <v>8846249</v>
      </c>
      <c r="D12" s="160">
        <v>2020</v>
      </c>
      <c r="E12" s="160">
        <v>2020</v>
      </c>
      <c r="F12" s="161">
        <v>0</v>
      </c>
      <c r="G12" s="161">
        <v>8846249</v>
      </c>
      <c r="H12" s="162">
        <v>0</v>
      </c>
      <c r="J12" s="3">
        <v>25043199</v>
      </c>
      <c r="K12" s="3">
        <v>0</v>
      </c>
      <c r="L12" s="3">
        <v>2782578</v>
      </c>
      <c r="M12" s="3">
        <f>SUM(J12:L12)</f>
        <v>27825777</v>
      </c>
    </row>
    <row r="13" spans="1:8" ht="13.5" thickTop="1">
      <c r="A13" s="14" t="s">
        <v>193</v>
      </c>
      <c r="B13" s="163" t="s">
        <v>348</v>
      </c>
      <c r="C13" s="164">
        <v>971002</v>
      </c>
      <c r="D13" s="165">
        <v>2020</v>
      </c>
      <c r="E13" s="165">
        <v>2020</v>
      </c>
      <c r="F13" s="166">
        <v>0</v>
      </c>
      <c r="G13" s="166">
        <v>971002</v>
      </c>
      <c r="H13" s="167"/>
    </row>
    <row r="14" spans="1:13" ht="12.75">
      <c r="A14" s="14" t="s">
        <v>194</v>
      </c>
      <c r="B14" s="168" t="s">
        <v>314</v>
      </c>
      <c r="C14" s="169">
        <v>12888369</v>
      </c>
      <c r="D14" s="170">
        <v>2020</v>
      </c>
      <c r="E14" s="170">
        <v>2020</v>
      </c>
      <c r="F14" s="169">
        <v>0</v>
      </c>
      <c r="G14" s="169">
        <f>C14</f>
        <v>12888369</v>
      </c>
      <c r="H14" s="171">
        <v>0</v>
      </c>
      <c r="J14" s="3">
        <v>7030529</v>
      </c>
      <c r="K14" s="3">
        <v>4897500</v>
      </c>
      <c r="L14" s="3">
        <v>0</v>
      </c>
      <c r="M14" s="3">
        <f>SUM(J14:L14)</f>
        <v>11928029</v>
      </c>
    </row>
    <row r="15" spans="1:8" ht="12.75">
      <c r="A15" s="14" t="s">
        <v>337</v>
      </c>
      <c r="B15" s="30" t="s">
        <v>367</v>
      </c>
      <c r="C15" s="172">
        <v>8581000</v>
      </c>
      <c r="D15" s="173">
        <v>2020</v>
      </c>
      <c r="E15" s="173">
        <v>2020</v>
      </c>
      <c r="F15" s="172">
        <v>0</v>
      </c>
      <c r="G15" s="172">
        <v>8581000</v>
      </c>
      <c r="H15" s="174"/>
    </row>
    <row r="16" spans="1:8" ht="12.75">
      <c r="A16" s="14" t="s">
        <v>349</v>
      </c>
      <c r="B16" s="30" t="s">
        <v>368</v>
      </c>
      <c r="C16" s="172">
        <v>576500</v>
      </c>
      <c r="D16" s="173">
        <v>2020</v>
      </c>
      <c r="E16" s="173">
        <v>2020</v>
      </c>
      <c r="F16" s="172">
        <v>0</v>
      </c>
      <c r="G16" s="172">
        <v>576500</v>
      </c>
      <c r="H16" s="174"/>
    </row>
    <row r="17" spans="1:8" ht="13.5" thickBot="1">
      <c r="A17" s="14" t="s">
        <v>370</v>
      </c>
      <c r="B17" s="30" t="s">
        <v>333</v>
      </c>
      <c r="C17" s="172">
        <v>2723704</v>
      </c>
      <c r="D17" s="173">
        <v>2020</v>
      </c>
      <c r="E17" s="173">
        <v>2020</v>
      </c>
      <c r="F17" s="172">
        <v>0</v>
      </c>
      <c r="G17" s="172">
        <v>2723704</v>
      </c>
      <c r="H17" s="174"/>
    </row>
    <row r="18" spans="1:13" s="74" customFormat="1" ht="19.5" customHeight="1" thickBot="1" thickTop="1">
      <c r="A18" s="14" t="s">
        <v>371</v>
      </c>
      <c r="B18" s="175" t="s">
        <v>68</v>
      </c>
      <c r="C18" s="176">
        <f>SUM(C12:C17)</f>
        <v>34586824</v>
      </c>
      <c r="D18" s="176"/>
      <c r="E18" s="176"/>
      <c r="F18" s="176">
        <f>SUM(F12:F14)</f>
        <v>0</v>
      </c>
      <c r="G18" s="176">
        <f>SUM(G12:G17)</f>
        <v>34586824</v>
      </c>
      <c r="H18" s="176">
        <f>SUM(H12:H14)</f>
        <v>0</v>
      </c>
      <c r="J18" s="123">
        <f>SUM(J11:J14)</f>
        <v>32073728</v>
      </c>
      <c r="K18" s="123">
        <f>SUM(K11:K14)</f>
        <v>4897500</v>
      </c>
      <c r="L18" s="123">
        <f>SUM(L11:L14)</f>
        <v>2782578</v>
      </c>
      <c r="M18" s="123">
        <f>SUM(M11:M14)</f>
        <v>39753806</v>
      </c>
    </row>
    <row r="19" ht="13.5" thickTop="1"/>
    <row r="20" spans="6:7" ht="12.75">
      <c r="F20" s="3"/>
      <c r="G20" s="3"/>
    </row>
    <row r="21" spans="7:13" ht="12.75" hidden="1">
      <c r="G21" s="3"/>
      <c r="H21" s="2" t="s">
        <v>319</v>
      </c>
      <c r="J21" s="3">
        <v>12338166</v>
      </c>
      <c r="K21" s="3">
        <f>12244151-K12</f>
        <v>12244151</v>
      </c>
      <c r="M21" s="3">
        <f>SUM(J21:L21)</f>
        <v>24582317</v>
      </c>
    </row>
    <row r="22" spans="7:13" ht="12.75" hidden="1">
      <c r="G22" s="3"/>
      <c r="H22" s="2" t="s">
        <v>320</v>
      </c>
      <c r="J22" s="3">
        <f>Felújítás!J37</f>
        <v>0</v>
      </c>
      <c r="K22" s="3">
        <f>Felújítás!K37</f>
        <v>13818885</v>
      </c>
      <c r="L22" s="3">
        <f>Felújítás!L37</f>
        <v>2438627</v>
      </c>
      <c r="M22" s="3">
        <f>Felújítás!M37</f>
        <v>16257512</v>
      </c>
    </row>
    <row r="23" spans="8:13" ht="12.75" hidden="1">
      <c r="H23" s="2" t="s">
        <v>68</v>
      </c>
      <c r="J23" s="3">
        <f>J22+J18</f>
        <v>32073728</v>
      </c>
      <c r="K23" s="3">
        <f>K22+K18</f>
        <v>18716385</v>
      </c>
      <c r="L23" s="3">
        <f>L22+L18</f>
        <v>5221205</v>
      </c>
      <c r="M23" s="3">
        <f>M22+M18</f>
        <v>56011318</v>
      </c>
    </row>
    <row r="26" ht="12.75">
      <c r="H26" s="3"/>
    </row>
  </sheetData>
  <sheetProtection/>
  <mergeCells count="5">
    <mergeCell ref="B7:H7"/>
    <mergeCell ref="A10:A11"/>
    <mergeCell ref="D10:E10"/>
    <mergeCell ref="B5:H5"/>
    <mergeCell ref="B6:H6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61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1" width="4.7109375" style="1" customWidth="1"/>
    <col min="2" max="2" width="62.8515625" style="2" customWidth="1"/>
    <col min="3" max="8" width="14.7109375" style="2" customWidth="1"/>
    <col min="9" max="9" width="9.140625" style="2" customWidth="1"/>
    <col min="10" max="13" width="12.7109375" style="3" hidden="1" customWidth="1"/>
    <col min="14" max="16384" width="9.140625" style="2" customWidth="1"/>
  </cols>
  <sheetData>
    <row r="1" ht="12.75">
      <c r="H1" s="146" t="s">
        <v>245</v>
      </c>
    </row>
    <row r="2" spans="6:8" ht="12.75">
      <c r="F2" s="147"/>
      <c r="G2" s="148"/>
      <c r="H2" s="5" t="s">
        <v>373</v>
      </c>
    </row>
    <row r="3" ht="12.75">
      <c r="H3" s="107"/>
    </row>
    <row r="4" ht="12.75">
      <c r="B4" s="149"/>
    </row>
    <row r="7" spans="2:9" ht="15.75">
      <c r="B7" s="343" t="s">
        <v>344</v>
      </c>
      <c r="C7" s="343"/>
      <c r="D7" s="343"/>
      <c r="E7" s="343"/>
      <c r="F7" s="343"/>
      <c r="G7" s="343"/>
      <c r="H7" s="343"/>
      <c r="I7" s="177"/>
    </row>
    <row r="8" spans="2:9" ht="15.75">
      <c r="B8" s="343" t="s">
        <v>70</v>
      </c>
      <c r="C8" s="343"/>
      <c r="D8" s="343"/>
      <c r="E8" s="343"/>
      <c r="F8" s="343"/>
      <c r="G8" s="343"/>
      <c r="H8" s="343"/>
      <c r="I8" s="177"/>
    </row>
    <row r="9" spans="2:9" ht="14.25">
      <c r="B9" s="355" t="s">
        <v>0</v>
      </c>
      <c r="C9" s="355"/>
      <c r="D9" s="355"/>
      <c r="E9" s="355"/>
      <c r="F9" s="355"/>
      <c r="G9" s="355"/>
      <c r="H9" s="355"/>
      <c r="I9" s="178"/>
    </row>
    <row r="10" spans="2:8" ht="14.25">
      <c r="B10" s="150"/>
      <c r="C10" s="150"/>
      <c r="D10" s="150"/>
      <c r="E10" s="150"/>
      <c r="F10" s="150"/>
      <c r="G10" s="150"/>
      <c r="H10" s="150"/>
    </row>
    <row r="11" spans="2:8" ht="14.25">
      <c r="B11" s="150"/>
      <c r="C11" s="150"/>
      <c r="D11" s="150"/>
      <c r="E11" s="150"/>
      <c r="F11" s="150"/>
      <c r="G11" s="150"/>
      <c r="H11" s="150"/>
    </row>
    <row r="14" spans="2:13" s="1" customFormat="1" ht="19.5" customHeight="1" thickBot="1">
      <c r="B14" s="8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8" t="s">
        <v>27</v>
      </c>
      <c r="H14" s="8" t="s">
        <v>28</v>
      </c>
      <c r="J14" s="3"/>
      <c r="K14" s="3"/>
      <c r="L14" s="3"/>
      <c r="M14" s="3"/>
    </row>
    <row r="15" spans="1:13" s="74" customFormat="1" ht="19.5" customHeight="1" thickTop="1">
      <c r="A15" s="179"/>
      <c r="B15" s="152" t="s">
        <v>71</v>
      </c>
      <c r="C15" s="153" t="s">
        <v>54</v>
      </c>
      <c r="D15" s="358" t="s">
        <v>55</v>
      </c>
      <c r="E15" s="359"/>
      <c r="F15" s="153" t="s">
        <v>56</v>
      </c>
      <c r="G15" s="153" t="s">
        <v>335</v>
      </c>
      <c r="H15" s="153" t="s">
        <v>336</v>
      </c>
      <c r="J15" s="69" t="s">
        <v>124</v>
      </c>
      <c r="K15" s="69" t="s">
        <v>317</v>
      </c>
      <c r="L15" s="69" t="s">
        <v>318</v>
      </c>
      <c r="M15" s="69" t="s">
        <v>68</v>
      </c>
    </row>
    <row r="16" spans="1:13" s="74" customFormat="1" ht="19.5" customHeight="1" thickBot="1">
      <c r="A16" s="179"/>
      <c r="B16" s="154"/>
      <c r="C16" s="155"/>
      <c r="D16" s="156" t="s">
        <v>57</v>
      </c>
      <c r="E16" s="157" t="s">
        <v>58</v>
      </c>
      <c r="F16" s="155" t="s">
        <v>346</v>
      </c>
      <c r="G16" s="155" t="s">
        <v>6</v>
      </c>
      <c r="H16" s="155" t="s">
        <v>59</v>
      </c>
      <c r="J16" s="123"/>
      <c r="K16" s="123"/>
      <c r="L16" s="123"/>
      <c r="M16" s="123"/>
    </row>
    <row r="17" spans="1:13" ht="14.25" thickBot="1" thickTop="1">
      <c r="A17" s="14" t="s">
        <v>192</v>
      </c>
      <c r="B17" s="158" t="s">
        <v>345</v>
      </c>
      <c r="C17" s="180">
        <v>29980915</v>
      </c>
      <c r="D17" s="160">
        <v>2020</v>
      </c>
      <c r="E17" s="160">
        <v>2020</v>
      </c>
      <c r="F17" s="161">
        <v>0</v>
      </c>
      <c r="G17" s="161">
        <v>29980915</v>
      </c>
      <c r="H17" s="162">
        <v>0</v>
      </c>
      <c r="K17" s="3">
        <v>13818885</v>
      </c>
      <c r="L17" s="3">
        <v>2438627</v>
      </c>
      <c r="M17" s="3">
        <f>SUM(J17:L17)</f>
        <v>16257512</v>
      </c>
    </row>
    <row r="18" spans="1:13" ht="13.5" hidden="1" thickBot="1">
      <c r="A18" s="14" t="s">
        <v>50</v>
      </c>
      <c r="B18" s="168"/>
      <c r="C18" s="169">
        <f aca="true" t="shared" si="0" ref="C18:C35">SUM(F18:H18)</f>
        <v>0</v>
      </c>
      <c r="D18" s="170"/>
      <c r="E18" s="170"/>
      <c r="F18" s="169"/>
      <c r="G18" s="169"/>
      <c r="H18" s="171"/>
      <c r="J18" s="3">
        <v>1802658.1999999997</v>
      </c>
      <c r="M18" s="3">
        <f>SUM(J18:L18)</f>
        <v>1802658.1999999997</v>
      </c>
    </row>
    <row r="19" spans="1:13" ht="13.5" hidden="1" thickBot="1">
      <c r="A19" s="14" t="s">
        <v>42</v>
      </c>
      <c r="B19" s="168"/>
      <c r="C19" s="169">
        <f t="shared" si="0"/>
        <v>0</v>
      </c>
      <c r="D19" s="170"/>
      <c r="E19" s="170"/>
      <c r="F19" s="169"/>
      <c r="G19" s="169"/>
      <c r="H19" s="171"/>
      <c r="J19" s="3">
        <f>SUM(J17:J18)</f>
        <v>1802658.1999999997</v>
      </c>
      <c r="K19" s="3">
        <f>SUM(K17:K18)</f>
        <v>13818885</v>
      </c>
      <c r="L19" s="3">
        <f>SUM(L17:L18)</f>
        <v>2438627</v>
      </c>
      <c r="M19" s="3">
        <f>SUM(M17:M18)</f>
        <v>18060170.2</v>
      </c>
    </row>
    <row r="20" spans="1:8" ht="13.5" hidden="1" thickBot="1">
      <c r="A20" s="14" t="s">
        <v>43</v>
      </c>
      <c r="B20" s="168"/>
      <c r="C20" s="169">
        <f t="shared" si="0"/>
        <v>0</v>
      </c>
      <c r="D20" s="170"/>
      <c r="E20" s="170"/>
      <c r="F20" s="169"/>
      <c r="G20" s="169"/>
      <c r="H20" s="171"/>
    </row>
    <row r="21" spans="1:8" ht="13.5" hidden="1" thickBot="1">
      <c r="A21" s="14" t="s">
        <v>44</v>
      </c>
      <c r="B21" s="168"/>
      <c r="C21" s="169">
        <f t="shared" si="0"/>
        <v>0</v>
      </c>
      <c r="D21" s="170"/>
      <c r="E21" s="170"/>
      <c r="F21" s="169"/>
      <c r="G21" s="169"/>
      <c r="H21" s="171"/>
    </row>
    <row r="22" spans="1:8" ht="13.5" hidden="1" thickBot="1">
      <c r="A22" s="14" t="s">
        <v>29</v>
      </c>
      <c r="B22" s="168"/>
      <c r="C22" s="169">
        <f t="shared" si="0"/>
        <v>0</v>
      </c>
      <c r="D22" s="170"/>
      <c r="E22" s="170"/>
      <c r="F22" s="169"/>
      <c r="G22" s="169"/>
      <c r="H22" s="171"/>
    </row>
    <row r="23" spans="1:8" ht="13.5" hidden="1" thickBot="1">
      <c r="A23" s="14" t="s">
        <v>30</v>
      </c>
      <c r="B23" s="168"/>
      <c r="C23" s="169">
        <f t="shared" si="0"/>
        <v>0</v>
      </c>
      <c r="D23" s="170">
        <v>2017</v>
      </c>
      <c r="E23" s="170">
        <v>2017</v>
      </c>
      <c r="F23" s="169"/>
      <c r="G23" s="169">
        <f aca="true" t="shared" si="1" ref="G23:G34">C23</f>
        <v>0</v>
      </c>
      <c r="H23" s="171"/>
    </row>
    <row r="24" spans="1:8" ht="13.5" hidden="1" thickBot="1">
      <c r="A24" s="14" t="s">
        <v>31</v>
      </c>
      <c r="B24" s="168"/>
      <c r="C24" s="169">
        <f t="shared" si="0"/>
        <v>0</v>
      </c>
      <c r="D24" s="170">
        <v>2017</v>
      </c>
      <c r="E24" s="170">
        <v>2017</v>
      </c>
      <c r="F24" s="169"/>
      <c r="G24" s="169">
        <f t="shared" si="1"/>
        <v>0</v>
      </c>
      <c r="H24" s="171"/>
    </row>
    <row r="25" spans="1:8" ht="13.5" hidden="1" thickBot="1">
      <c r="A25" s="14" t="s">
        <v>32</v>
      </c>
      <c r="B25" s="168"/>
      <c r="C25" s="169">
        <f t="shared" si="0"/>
        <v>0</v>
      </c>
      <c r="D25" s="170">
        <v>2017</v>
      </c>
      <c r="E25" s="170">
        <v>2017</v>
      </c>
      <c r="F25" s="169"/>
      <c r="G25" s="169">
        <f t="shared" si="1"/>
        <v>0</v>
      </c>
      <c r="H25" s="171"/>
    </row>
    <row r="26" spans="1:8" ht="13.5" hidden="1" thickBot="1">
      <c r="A26" s="14" t="s">
        <v>8</v>
      </c>
      <c r="B26" s="168"/>
      <c r="C26" s="169">
        <f t="shared" si="0"/>
        <v>0</v>
      </c>
      <c r="D26" s="170">
        <v>2017</v>
      </c>
      <c r="E26" s="170">
        <v>2017</v>
      </c>
      <c r="F26" s="169"/>
      <c r="G26" s="169">
        <f t="shared" si="1"/>
        <v>0</v>
      </c>
      <c r="H26" s="171"/>
    </row>
    <row r="27" spans="1:8" ht="13.5" hidden="1" thickBot="1">
      <c r="A27" s="14" t="s">
        <v>9</v>
      </c>
      <c r="B27" s="168"/>
      <c r="C27" s="169">
        <f t="shared" si="0"/>
        <v>0</v>
      </c>
      <c r="D27" s="170">
        <v>2017</v>
      </c>
      <c r="E27" s="170">
        <v>2017</v>
      </c>
      <c r="F27" s="169"/>
      <c r="G27" s="169">
        <f t="shared" si="1"/>
        <v>0</v>
      </c>
      <c r="H27" s="171"/>
    </row>
    <row r="28" spans="1:8" ht="13.5" hidden="1" thickBot="1">
      <c r="A28" s="14" t="s">
        <v>10</v>
      </c>
      <c r="B28" s="168"/>
      <c r="C28" s="169">
        <f t="shared" si="0"/>
        <v>0</v>
      </c>
      <c r="D28" s="170">
        <v>2017</v>
      </c>
      <c r="E28" s="170">
        <v>2017</v>
      </c>
      <c r="F28" s="169"/>
      <c r="G28" s="169">
        <f t="shared" si="1"/>
        <v>0</v>
      </c>
      <c r="H28" s="171"/>
    </row>
    <row r="29" spans="1:9" ht="13.5" hidden="1" thickBot="1">
      <c r="A29" s="14" t="s">
        <v>11</v>
      </c>
      <c r="B29" s="168"/>
      <c r="C29" s="169">
        <f t="shared" si="0"/>
        <v>0</v>
      </c>
      <c r="D29" s="170">
        <v>2017</v>
      </c>
      <c r="E29" s="170">
        <v>2017</v>
      </c>
      <c r="F29" s="169"/>
      <c r="G29" s="169">
        <f t="shared" si="1"/>
        <v>0</v>
      </c>
      <c r="H29" s="171"/>
      <c r="I29" s="181"/>
    </row>
    <row r="30" spans="1:9" ht="13.5" hidden="1" thickBot="1">
      <c r="A30" s="14" t="s">
        <v>45</v>
      </c>
      <c r="B30" s="168"/>
      <c r="C30" s="169">
        <f t="shared" si="0"/>
        <v>0</v>
      </c>
      <c r="D30" s="170">
        <v>2017</v>
      </c>
      <c r="E30" s="170">
        <v>2017</v>
      </c>
      <c r="F30" s="169"/>
      <c r="G30" s="169">
        <f t="shared" si="1"/>
        <v>0</v>
      </c>
      <c r="H30" s="171"/>
      <c r="I30" s="172"/>
    </row>
    <row r="31" spans="1:9" ht="13.5" hidden="1" thickBot="1">
      <c r="A31" s="14" t="s">
        <v>46</v>
      </c>
      <c r="B31" s="168"/>
      <c r="C31" s="169">
        <f t="shared" si="0"/>
        <v>0</v>
      </c>
      <c r="D31" s="170">
        <v>2017</v>
      </c>
      <c r="E31" s="170">
        <v>2017</v>
      </c>
      <c r="F31" s="169"/>
      <c r="G31" s="169">
        <f t="shared" si="1"/>
        <v>0</v>
      </c>
      <c r="H31" s="171"/>
      <c r="I31" s="172"/>
    </row>
    <row r="32" spans="1:9" ht="13.5" hidden="1" thickBot="1">
      <c r="A32" s="14" t="s">
        <v>47</v>
      </c>
      <c r="B32" s="168"/>
      <c r="C32" s="169">
        <f t="shared" si="0"/>
        <v>0</v>
      </c>
      <c r="D32" s="170">
        <v>2017</v>
      </c>
      <c r="E32" s="170">
        <v>2017</v>
      </c>
      <c r="F32" s="169"/>
      <c r="G32" s="169">
        <f t="shared" si="1"/>
        <v>0</v>
      </c>
      <c r="H32" s="182"/>
      <c r="I32" s="172"/>
    </row>
    <row r="33" spans="1:8" ht="13.5" hidden="1" thickBot="1">
      <c r="A33" s="14" t="s">
        <v>48</v>
      </c>
      <c r="B33" s="168"/>
      <c r="C33" s="169">
        <f t="shared" si="0"/>
        <v>0</v>
      </c>
      <c r="D33" s="170">
        <v>2017</v>
      </c>
      <c r="E33" s="170">
        <v>2017</v>
      </c>
      <c r="F33" s="169"/>
      <c r="G33" s="169">
        <f t="shared" si="1"/>
        <v>0</v>
      </c>
      <c r="H33" s="171"/>
    </row>
    <row r="34" spans="1:8" ht="13.5" hidden="1" thickBot="1">
      <c r="A34" s="14" t="s">
        <v>49</v>
      </c>
      <c r="B34" s="168"/>
      <c r="C34" s="169">
        <f t="shared" si="0"/>
        <v>0</v>
      </c>
      <c r="D34" s="170">
        <v>2017</v>
      </c>
      <c r="E34" s="170">
        <v>2017</v>
      </c>
      <c r="F34" s="169"/>
      <c r="G34" s="169">
        <f t="shared" si="1"/>
        <v>0</v>
      </c>
      <c r="H34" s="171"/>
    </row>
    <row r="35" spans="1:8" ht="12.75" hidden="1">
      <c r="A35" s="14" t="s">
        <v>60</v>
      </c>
      <c r="B35" s="183"/>
      <c r="C35" s="169">
        <f t="shared" si="0"/>
        <v>0</v>
      </c>
      <c r="D35" s="184"/>
      <c r="E35" s="184"/>
      <c r="F35" s="185"/>
      <c r="G35" s="185"/>
      <c r="H35" s="186"/>
    </row>
    <row r="36" spans="1:8" ht="14.25" thickBot="1" thickTop="1">
      <c r="A36" s="14" t="s">
        <v>193</v>
      </c>
      <c r="B36" s="158" t="s">
        <v>328</v>
      </c>
      <c r="C36" s="159">
        <f>48000000-C17</f>
        <v>18019085</v>
      </c>
      <c r="D36" s="188">
        <v>2020</v>
      </c>
      <c r="E36" s="188">
        <v>2020</v>
      </c>
      <c r="F36" s="189">
        <v>0</v>
      </c>
      <c r="G36" s="189">
        <f>C36</f>
        <v>18019085</v>
      </c>
      <c r="H36" s="190"/>
    </row>
    <row r="37" spans="1:13" s="74" customFormat="1" ht="19.5" customHeight="1" thickBot="1" thickTop="1">
      <c r="A37" s="14" t="s">
        <v>194</v>
      </c>
      <c r="B37" s="175" t="s">
        <v>68</v>
      </c>
      <c r="C37" s="176">
        <f>C17+C36</f>
        <v>48000000</v>
      </c>
      <c r="D37" s="176"/>
      <c r="E37" s="176"/>
      <c r="F37" s="176">
        <f>SUM(F17:F17)</f>
        <v>0</v>
      </c>
      <c r="G37" s="176">
        <f>G17+G36</f>
        <v>48000000</v>
      </c>
      <c r="H37" s="176">
        <f>SUM(H17:H17)</f>
        <v>0</v>
      </c>
      <c r="J37" s="3">
        <f>SUM(J17:J17)</f>
        <v>0</v>
      </c>
      <c r="K37" s="3">
        <f>SUM(K17:K17)</f>
        <v>13818885</v>
      </c>
      <c r="L37" s="3">
        <f>SUM(L17:L17)</f>
        <v>2438627</v>
      </c>
      <c r="M37" s="3">
        <f>SUM(M17:M17)</f>
        <v>16257512</v>
      </c>
    </row>
    <row r="38" ht="13.5" thickTop="1">
      <c r="C38" s="3"/>
    </row>
    <row r="39" ht="12.75">
      <c r="G39" s="3"/>
    </row>
    <row r="40" ht="12.75">
      <c r="G40" s="3"/>
    </row>
    <row r="41" ht="12.75">
      <c r="C41" s="3"/>
    </row>
    <row r="42" spans="2:3" ht="12.75">
      <c r="B42" s="3"/>
      <c r="C42" s="3"/>
    </row>
    <row r="43" spans="3:7" ht="12.75">
      <c r="C43" s="3"/>
      <c r="G43" s="3"/>
    </row>
    <row r="44" ht="12.75">
      <c r="C44" s="3"/>
    </row>
    <row r="45" ht="12.75">
      <c r="C45" s="3"/>
    </row>
    <row r="46" ht="12.75">
      <c r="C46" s="3"/>
    </row>
    <row r="47" spans="3:4" ht="12.75">
      <c r="C47" s="3"/>
      <c r="D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</sheetData>
  <sheetProtection/>
  <mergeCells count="4">
    <mergeCell ref="B9:H9"/>
    <mergeCell ref="D15:E15"/>
    <mergeCell ref="B7:H7"/>
    <mergeCell ref="B8:H8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4">
      <selection activeCell="I14" sqref="I14"/>
    </sheetView>
  </sheetViews>
  <sheetFormatPr defaultColWidth="9.140625" defaultRowHeight="12.75"/>
  <cols>
    <col min="1" max="1" width="4.7109375" style="2" customWidth="1"/>
    <col min="2" max="4" width="25.7109375" style="2" customWidth="1"/>
    <col min="5" max="5" width="125.28125" style="2" hidden="1" customWidth="1"/>
    <col min="6" max="6" width="0" style="2" hidden="1" customWidth="1"/>
    <col min="7" max="8" width="9.140625" style="2" customWidth="1"/>
    <col min="9" max="9" width="10.140625" style="2" bestFit="1" customWidth="1"/>
    <col min="10" max="10" width="13.00390625" style="2" customWidth="1"/>
    <col min="11" max="16384" width="9.140625" style="2" customWidth="1"/>
  </cols>
  <sheetData>
    <row r="1" spans="4:5" ht="12.75">
      <c r="D1" s="191" t="s">
        <v>253</v>
      </c>
      <c r="E1" s="192"/>
    </row>
    <row r="2" spans="2:5" ht="12.75">
      <c r="B2" s="193"/>
      <c r="D2" s="5" t="s">
        <v>373</v>
      </c>
      <c r="E2" s="194"/>
    </row>
    <row r="3" spans="2:5" ht="12.75">
      <c r="B3" s="195"/>
      <c r="D3" s="191"/>
      <c r="E3" s="192"/>
    </row>
    <row r="4" spans="4:6" ht="12.75">
      <c r="D4" s="5"/>
      <c r="E4" s="147"/>
      <c r="F4" s="147"/>
    </row>
    <row r="5" spans="2:6" ht="15.75">
      <c r="B5" s="343" t="s">
        <v>127</v>
      </c>
      <c r="C5" s="343"/>
      <c r="D5" s="343"/>
      <c r="E5" s="343"/>
      <c r="F5" s="343"/>
    </row>
    <row r="6" spans="2:6" ht="15.75">
      <c r="B6" s="343" t="s">
        <v>128</v>
      </c>
      <c r="C6" s="343"/>
      <c r="D6" s="343"/>
      <c r="E6" s="343"/>
      <c r="F6" s="343"/>
    </row>
    <row r="7" spans="2:4" ht="14.25">
      <c r="B7" s="355" t="s">
        <v>0</v>
      </c>
      <c r="C7" s="355"/>
      <c r="D7" s="355"/>
    </row>
    <row r="8" spans="2:4" ht="14.25">
      <c r="B8" s="150"/>
      <c r="C8" s="150"/>
      <c r="D8" s="150"/>
    </row>
    <row r="9" spans="2:9" s="1" customFormat="1" ht="19.5" customHeight="1" thickBot="1">
      <c r="B9" s="196" t="s">
        <v>22</v>
      </c>
      <c r="C9" s="196" t="s">
        <v>23</v>
      </c>
      <c r="D9" s="196" t="s">
        <v>24</v>
      </c>
      <c r="I9" s="197"/>
    </row>
    <row r="10" spans="2:9" s="198" customFormat="1" ht="19.5" customHeight="1" thickBot="1" thickTop="1">
      <c r="B10" s="199" t="s">
        <v>123</v>
      </c>
      <c r="C10" s="200" t="s">
        <v>124</v>
      </c>
      <c r="D10" s="200" t="s">
        <v>140</v>
      </c>
      <c r="I10" s="201"/>
    </row>
    <row r="11" spans="1:9" ht="15" customHeight="1" thickBot="1" thickTop="1">
      <c r="A11" s="14" t="s">
        <v>75</v>
      </c>
      <c r="B11" s="360" t="s">
        <v>347</v>
      </c>
      <c r="C11" s="361"/>
      <c r="D11" s="362"/>
      <c r="I11" s="3"/>
    </row>
    <row r="12" spans="1:9" ht="15" customHeight="1" thickTop="1">
      <c r="A12" s="14" t="s">
        <v>50</v>
      </c>
      <c r="B12" s="202">
        <v>2019</v>
      </c>
      <c r="C12" s="161">
        <v>29980915</v>
      </c>
      <c r="D12" s="162">
        <v>0</v>
      </c>
      <c r="F12" s="2" t="s">
        <v>305</v>
      </c>
      <c r="I12" s="3"/>
    </row>
    <row r="13" spans="1:9" ht="15" customHeight="1" thickBot="1">
      <c r="A13" s="14" t="s">
        <v>43</v>
      </c>
      <c r="B13" s="203">
        <v>2020</v>
      </c>
      <c r="C13" s="185">
        <v>0</v>
      </c>
      <c r="D13" s="204">
        <v>29980915</v>
      </c>
      <c r="I13" s="3"/>
    </row>
    <row r="14" spans="1:9" ht="15" customHeight="1" thickBot="1" thickTop="1">
      <c r="A14" s="14" t="s">
        <v>44</v>
      </c>
      <c r="B14" s="205" t="s">
        <v>68</v>
      </c>
      <c r="C14" s="206">
        <f>SUM(C12:C13)</f>
        <v>29980915</v>
      </c>
      <c r="D14" s="207">
        <f>SUM(D12:D13)</f>
        <v>29980915</v>
      </c>
      <c r="F14" s="2" t="s">
        <v>306</v>
      </c>
      <c r="I14" s="3"/>
    </row>
    <row r="15" spans="2:4" ht="14.25" thickBot="1" thickTop="1">
      <c r="B15" s="360" t="s">
        <v>356</v>
      </c>
      <c r="C15" s="361"/>
      <c r="D15" s="362"/>
    </row>
    <row r="16" spans="2:4" ht="13.5" thickTop="1">
      <c r="B16" s="202">
        <v>2021</v>
      </c>
      <c r="C16" s="161">
        <v>0</v>
      </c>
      <c r="D16" s="162">
        <v>511080</v>
      </c>
    </row>
    <row r="17" spans="2:4" ht="13.5" thickBot="1">
      <c r="B17" s="203">
        <v>2022</v>
      </c>
      <c r="C17" s="185">
        <v>0</v>
      </c>
      <c r="D17" s="204">
        <v>1022160</v>
      </c>
    </row>
    <row r="18" spans="2:4" ht="14.25" thickBot="1" thickTop="1">
      <c r="B18" s="208" t="s">
        <v>357</v>
      </c>
      <c r="C18" s="209"/>
      <c r="D18" s="210">
        <v>13799160</v>
      </c>
    </row>
    <row r="19" spans="2:4" ht="14.25" thickBot="1" thickTop="1">
      <c r="B19" s="205" t="s">
        <v>68</v>
      </c>
      <c r="C19" s="206">
        <f>SUM(C16:C17)</f>
        <v>0</v>
      </c>
      <c r="D19" s="207">
        <f>SUM(D16:D18)</f>
        <v>15332400</v>
      </c>
    </row>
    <row r="20" ht="13.5" thickTop="1"/>
  </sheetData>
  <sheetProtection/>
  <mergeCells count="5">
    <mergeCell ref="B6:F6"/>
    <mergeCell ref="B5:F5"/>
    <mergeCell ref="B7:D7"/>
    <mergeCell ref="B11:D11"/>
    <mergeCell ref="B15:D1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7109375" style="2" customWidth="1"/>
    <col min="2" max="4" width="25.7109375" style="2" customWidth="1"/>
    <col min="5" max="5" width="125.28125" style="2" hidden="1" customWidth="1"/>
    <col min="6" max="6" width="0" style="2" hidden="1" customWidth="1"/>
    <col min="7" max="8" width="9.140625" style="2" customWidth="1"/>
    <col min="9" max="9" width="10.140625" style="3" hidden="1" customWidth="1"/>
    <col min="10" max="10" width="13.00390625" style="2" customWidth="1"/>
    <col min="11" max="16384" width="9.140625" style="2" customWidth="1"/>
  </cols>
  <sheetData>
    <row r="1" spans="4:5" ht="12.75">
      <c r="D1" s="191" t="s">
        <v>51</v>
      </c>
      <c r="E1" s="192"/>
    </row>
    <row r="2" spans="2:5" ht="12.75">
      <c r="B2" s="193"/>
      <c r="D2" s="5" t="s">
        <v>373</v>
      </c>
      <c r="E2" s="194"/>
    </row>
    <row r="3" spans="2:5" ht="12.75">
      <c r="B3" s="195"/>
      <c r="D3" s="191"/>
      <c r="E3" s="192"/>
    </row>
    <row r="4" spans="4:6" ht="12.75">
      <c r="D4" s="5"/>
      <c r="E4" s="147"/>
      <c r="F4" s="147"/>
    </row>
    <row r="5" ht="12.75">
      <c r="D5" s="191"/>
    </row>
    <row r="6" spans="2:4" ht="15.75">
      <c r="B6" s="343" t="s">
        <v>122</v>
      </c>
      <c r="C6" s="343"/>
      <c r="D6" s="343"/>
    </row>
    <row r="7" spans="2:4" ht="14.25">
      <c r="B7" s="355" t="s">
        <v>260</v>
      </c>
      <c r="C7" s="355"/>
      <c r="D7" s="355"/>
    </row>
    <row r="8" spans="2:4" ht="14.25">
      <c r="B8" s="150"/>
      <c r="C8" s="150"/>
      <c r="D8" s="150"/>
    </row>
    <row r="9" spans="2:9" s="1" customFormat="1" ht="19.5" customHeight="1" thickBot="1">
      <c r="B9" s="196" t="s">
        <v>22</v>
      </c>
      <c r="C9" s="196" t="s">
        <v>23</v>
      </c>
      <c r="D9" s="196" t="s">
        <v>24</v>
      </c>
      <c r="I9" s="197"/>
    </row>
    <row r="10" spans="1:9" s="198" customFormat="1" ht="19.5" customHeight="1" thickBot="1" thickTop="1">
      <c r="A10" s="14" t="s">
        <v>75</v>
      </c>
      <c r="B10" s="199" t="s">
        <v>123</v>
      </c>
      <c r="C10" s="200" t="s">
        <v>124</v>
      </c>
      <c r="D10" s="200" t="s">
        <v>140</v>
      </c>
      <c r="I10" s="201"/>
    </row>
    <row r="11" spans="1:4" ht="15" customHeight="1" thickBot="1" thickTop="1">
      <c r="A11" s="14" t="s">
        <v>50</v>
      </c>
      <c r="B11" s="360" t="s">
        <v>328</v>
      </c>
      <c r="C11" s="361"/>
      <c r="D11" s="362"/>
    </row>
    <row r="12" spans="1:6" ht="15" customHeight="1" thickBot="1" thickTop="1">
      <c r="A12" s="14" t="s">
        <v>42</v>
      </c>
      <c r="B12" s="202">
        <v>2020</v>
      </c>
      <c r="C12" s="161">
        <v>11825954</v>
      </c>
      <c r="D12" s="162">
        <v>16019085</v>
      </c>
      <c r="F12" s="2" t="s">
        <v>305</v>
      </c>
    </row>
    <row r="13" spans="1:6" ht="15" customHeight="1" thickBot="1" thickTop="1">
      <c r="A13" s="14" t="s">
        <v>29</v>
      </c>
      <c r="B13" s="205" t="s">
        <v>68</v>
      </c>
      <c r="C13" s="206">
        <f>SUM(C12:C12)</f>
        <v>11825954</v>
      </c>
      <c r="D13" s="207">
        <f>SUM(D12:D12)</f>
        <v>16019085</v>
      </c>
      <c r="F13" s="2" t="s">
        <v>306</v>
      </c>
    </row>
    <row r="14" spans="2:6" ht="16.5" thickTop="1">
      <c r="B14" s="343"/>
      <c r="C14" s="343"/>
      <c r="D14" s="343"/>
      <c r="E14" s="343"/>
      <c r="F14" s="343"/>
    </row>
    <row r="15" spans="2:6" ht="15.75">
      <c r="B15" s="343"/>
      <c r="C15" s="343"/>
      <c r="D15" s="343"/>
      <c r="E15" s="343"/>
      <c r="F15" s="343"/>
    </row>
    <row r="17" ht="12.75">
      <c r="D17" s="3"/>
    </row>
  </sheetData>
  <sheetProtection/>
  <mergeCells count="5">
    <mergeCell ref="B14:F14"/>
    <mergeCell ref="B15:F15"/>
    <mergeCell ref="B6:D6"/>
    <mergeCell ref="B7:D7"/>
    <mergeCell ref="B11:D11"/>
  </mergeCells>
  <printOptions horizontalCentered="1"/>
  <pageMargins left="0.11811023622047245" right="0.11811023622047245" top="0.35433070866141736" bottom="0.3937007874015748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40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4.7109375" style="1" customWidth="1"/>
    <col min="2" max="2" width="43.8515625" style="198" customWidth="1"/>
    <col min="3" max="15" width="10.7109375" style="201" customWidth="1"/>
    <col min="16" max="16" width="4.421875" style="201" customWidth="1"/>
    <col min="17" max="17" width="11.7109375" style="201" hidden="1" customWidth="1"/>
    <col min="18" max="18" width="12.28125" style="198" hidden="1" customWidth="1"/>
    <col min="19" max="19" width="12.57421875" style="198" hidden="1" customWidth="1"/>
    <col min="20" max="20" width="14.00390625" style="198" customWidth="1"/>
    <col min="21" max="22" width="9.140625" style="198" customWidth="1"/>
    <col min="23" max="16384" width="9.140625" style="198" customWidth="1"/>
  </cols>
  <sheetData>
    <row r="1" ht="12.75">
      <c r="O1" s="146" t="s">
        <v>69</v>
      </c>
    </row>
    <row r="2" spans="15:17" ht="12.75">
      <c r="O2" s="5" t="s">
        <v>373</v>
      </c>
      <c r="P2" s="211"/>
      <c r="Q2" s="211"/>
    </row>
    <row r="3" ht="12.75">
      <c r="O3" s="212"/>
    </row>
    <row r="5" spans="2:15" ht="18">
      <c r="B5" s="363" t="s">
        <v>352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</row>
    <row r="6" spans="2:15" ht="18">
      <c r="B6" s="363" t="s">
        <v>160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</row>
    <row r="7" spans="2:15" ht="14.25">
      <c r="B7" s="327" t="s">
        <v>260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</row>
    <row r="8" spans="2:15" ht="14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10" spans="2:17" s="1" customFormat="1" ht="19.5" customHeight="1" thickBot="1">
      <c r="B10" s="213" t="s">
        <v>22</v>
      </c>
      <c r="C10" s="214" t="s">
        <v>23</v>
      </c>
      <c r="D10" s="214" t="s">
        <v>24</v>
      </c>
      <c r="E10" s="214" t="s">
        <v>25</v>
      </c>
      <c r="F10" s="214" t="s">
        <v>26</v>
      </c>
      <c r="G10" s="214" t="s">
        <v>27</v>
      </c>
      <c r="H10" s="214" t="s">
        <v>28</v>
      </c>
      <c r="I10" s="214" t="s">
        <v>33</v>
      </c>
      <c r="J10" s="214" t="s">
        <v>34</v>
      </c>
      <c r="K10" s="214" t="s">
        <v>35</v>
      </c>
      <c r="L10" s="214" t="s">
        <v>38</v>
      </c>
      <c r="M10" s="214" t="s">
        <v>36</v>
      </c>
      <c r="N10" s="214" t="s">
        <v>37</v>
      </c>
      <c r="O10" s="214" t="s">
        <v>39</v>
      </c>
      <c r="P10" s="197"/>
      <c r="Q10" s="197"/>
    </row>
    <row r="11" spans="1:17" s="215" customFormat="1" ht="19.5" customHeight="1" thickBot="1" thickTop="1">
      <c r="A11" s="1"/>
      <c r="C11" s="216" t="s">
        <v>142</v>
      </c>
      <c r="D11" s="216" t="s">
        <v>143</v>
      </c>
      <c r="E11" s="216" t="s">
        <v>144</v>
      </c>
      <c r="F11" s="216" t="s">
        <v>145</v>
      </c>
      <c r="G11" s="216" t="s">
        <v>146</v>
      </c>
      <c r="H11" s="216" t="s">
        <v>147</v>
      </c>
      <c r="I11" s="216" t="s">
        <v>148</v>
      </c>
      <c r="J11" s="216" t="s">
        <v>149</v>
      </c>
      <c r="K11" s="216" t="s">
        <v>150</v>
      </c>
      <c r="L11" s="216" t="s">
        <v>151</v>
      </c>
      <c r="M11" s="216" t="s">
        <v>152</v>
      </c>
      <c r="N11" s="216" t="s">
        <v>153</v>
      </c>
      <c r="O11" s="216" t="s">
        <v>68</v>
      </c>
      <c r="P11" s="217"/>
      <c r="Q11" s="217"/>
    </row>
    <row r="12" spans="1:15" ht="19.5" customHeight="1" thickTop="1">
      <c r="A12" s="14" t="s">
        <v>75</v>
      </c>
      <c r="B12" s="218" t="s">
        <v>154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20"/>
    </row>
    <row r="13" spans="1:15" s="201" customFormat="1" ht="12.75">
      <c r="A13" s="14" t="s">
        <v>50</v>
      </c>
      <c r="B13" s="221" t="s">
        <v>246</v>
      </c>
      <c r="C13" s="222"/>
      <c r="D13" s="223">
        <f>C39</f>
        <v>0</v>
      </c>
      <c r="E13" s="223">
        <f>D39</f>
        <v>0</v>
      </c>
      <c r="F13" s="223">
        <f aca="true" t="shared" si="0" ref="F13:N13">E39</f>
        <v>0</v>
      </c>
      <c r="G13" s="223">
        <f t="shared" si="0"/>
        <v>0</v>
      </c>
      <c r="H13" s="223">
        <f t="shared" si="0"/>
        <v>0</v>
      </c>
      <c r="I13" s="223">
        <f t="shared" si="0"/>
        <v>0</v>
      </c>
      <c r="J13" s="223">
        <f t="shared" si="0"/>
        <v>0</v>
      </c>
      <c r="K13" s="223">
        <f t="shared" si="0"/>
        <v>0</v>
      </c>
      <c r="L13" s="223">
        <f t="shared" si="0"/>
        <v>0</v>
      </c>
      <c r="M13" s="223">
        <f t="shared" si="0"/>
        <v>0</v>
      </c>
      <c r="N13" s="223">
        <f t="shared" si="0"/>
        <v>0</v>
      </c>
      <c r="O13" s="224"/>
    </row>
    <row r="14" spans="1:19" s="201" customFormat="1" ht="12.75">
      <c r="A14" s="14" t="s">
        <v>42</v>
      </c>
      <c r="B14" s="221" t="s">
        <v>250</v>
      </c>
      <c r="C14" s="223">
        <v>12000000</v>
      </c>
      <c r="D14" s="223">
        <v>9900000</v>
      </c>
      <c r="E14" s="223">
        <v>9500000</v>
      </c>
      <c r="F14" s="223">
        <v>9000000</v>
      </c>
      <c r="G14" s="223">
        <v>12000000</v>
      </c>
      <c r="H14" s="223">
        <v>11000000</v>
      </c>
      <c r="I14" s="223">
        <f>14000000-3601007</f>
        <v>10398993</v>
      </c>
      <c r="J14" s="223">
        <f>1000000+1029446</f>
        <v>2029446</v>
      </c>
      <c r="K14" s="223">
        <v>10300000</v>
      </c>
      <c r="L14" s="223">
        <v>10500000</v>
      </c>
      <c r="M14" s="223">
        <v>10300000</v>
      </c>
      <c r="N14" s="223">
        <v>10500000</v>
      </c>
      <c r="O14" s="225">
        <f>SUM(C14:N14)</f>
        <v>117428439</v>
      </c>
      <c r="Q14" s="201">
        <f>Mérleg!F15</f>
        <v>117428439</v>
      </c>
      <c r="R14" s="201">
        <f>Q14/12</f>
        <v>9785703.25</v>
      </c>
      <c r="S14" s="201">
        <f>Q14-O14</f>
        <v>0</v>
      </c>
    </row>
    <row r="15" spans="1:19" s="201" customFormat="1" ht="12.75">
      <c r="A15" s="14" t="s">
        <v>43</v>
      </c>
      <c r="B15" s="221" t="s">
        <v>178</v>
      </c>
      <c r="C15" s="223">
        <v>0</v>
      </c>
      <c r="D15" s="223">
        <v>0</v>
      </c>
      <c r="E15" s="223">
        <v>3500000</v>
      </c>
      <c r="F15" s="223">
        <v>0</v>
      </c>
      <c r="G15" s="223">
        <v>200000</v>
      </c>
      <c r="H15" s="223">
        <v>0</v>
      </c>
      <c r="I15" s="223">
        <v>0</v>
      </c>
      <c r="J15" s="223">
        <v>0</v>
      </c>
      <c r="K15" s="223">
        <v>3500000</v>
      </c>
      <c r="L15" s="223">
        <v>0</v>
      </c>
      <c r="M15" s="223">
        <v>0</v>
      </c>
      <c r="N15" s="223">
        <f>1100000+35000</f>
        <v>1135000</v>
      </c>
      <c r="O15" s="225">
        <f aca="true" t="shared" si="1" ref="O15:O23">SUM(C15:N15)</f>
        <v>8335000</v>
      </c>
      <c r="Q15" s="201">
        <f>Mérleg!F16</f>
        <v>8335000</v>
      </c>
      <c r="R15" s="201">
        <f aca="true" t="shared" si="2" ref="R15:R23">Q15/12</f>
        <v>694583.3333333334</v>
      </c>
      <c r="S15" s="201">
        <f aca="true" t="shared" si="3" ref="S15:S23">Q15-O15</f>
        <v>0</v>
      </c>
    </row>
    <row r="16" spans="1:19" s="201" customFormat="1" ht="12.75">
      <c r="A16" s="14" t="s">
        <v>44</v>
      </c>
      <c r="B16" s="221" t="s">
        <v>183</v>
      </c>
      <c r="C16" s="223">
        <v>950000</v>
      </c>
      <c r="D16" s="223">
        <v>900000</v>
      </c>
      <c r="E16" s="223">
        <v>900000</v>
      </c>
      <c r="F16" s="223">
        <v>900000</v>
      </c>
      <c r="G16" s="223">
        <v>5000000</v>
      </c>
      <c r="H16" s="223">
        <v>2520000</v>
      </c>
      <c r="I16" s="223">
        <v>950000</v>
      </c>
      <c r="J16" s="223">
        <v>1392604</v>
      </c>
      <c r="K16" s="223">
        <v>1900000</v>
      </c>
      <c r="L16" s="223">
        <f>6000000-606000</f>
        <v>5394000</v>
      </c>
      <c r="M16" s="223">
        <v>6000000</v>
      </c>
      <c r="N16" s="223">
        <v>1900000</v>
      </c>
      <c r="O16" s="225">
        <f t="shared" si="1"/>
        <v>28706604</v>
      </c>
      <c r="Q16" s="201">
        <f>Mérleg!F17</f>
        <v>28706604</v>
      </c>
      <c r="R16" s="201">
        <f t="shared" si="2"/>
        <v>2392217</v>
      </c>
      <c r="S16" s="201">
        <f t="shared" si="3"/>
        <v>0</v>
      </c>
    </row>
    <row r="17" spans="1:19" s="201" customFormat="1" ht="12.75">
      <c r="A17" s="14" t="s">
        <v>29</v>
      </c>
      <c r="B17" s="221" t="s">
        <v>184</v>
      </c>
      <c r="C17" s="223">
        <v>0</v>
      </c>
      <c r="D17" s="223">
        <v>0</v>
      </c>
      <c r="E17" s="223"/>
      <c r="F17" s="223">
        <v>0</v>
      </c>
      <c r="G17" s="223">
        <v>0</v>
      </c>
      <c r="H17" s="223">
        <v>0</v>
      </c>
      <c r="I17" s="223">
        <v>0</v>
      </c>
      <c r="J17" s="223">
        <v>2318825</v>
      </c>
      <c r="K17" s="223">
        <v>0</v>
      </c>
      <c r="L17" s="223">
        <v>0</v>
      </c>
      <c r="M17" s="223">
        <v>0</v>
      </c>
      <c r="N17" s="223">
        <v>0</v>
      </c>
      <c r="O17" s="225">
        <f t="shared" si="1"/>
        <v>2318825</v>
      </c>
      <c r="Q17" s="201">
        <f>Mérleg!F18</f>
        <v>2318825</v>
      </c>
      <c r="R17" s="201">
        <f t="shared" si="2"/>
        <v>193235.41666666666</v>
      </c>
      <c r="S17" s="201">
        <f t="shared" si="3"/>
        <v>0</v>
      </c>
    </row>
    <row r="18" spans="1:19" s="201" customFormat="1" ht="12.75">
      <c r="A18" s="14" t="s">
        <v>30</v>
      </c>
      <c r="B18" s="221" t="s">
        <v>249</v>
      </c>
      <c r="C18" s="223">
        <v>0</v>
      </c>
      <c r="D18" s="223">
        <v>0</v>
      </c>
      <c r="E18" s="223">
        <v>1000000</v>
      </c>
      <c r="F18" s="223">
        <v>1000000</v>
      </c>
      <c r="G18" s="223">
        <v>1000000</v>
      </c>
      <c r="H18" s="223">
        <f>25000000</f>
        <v>25000000</v>
      </c>
      <c r="I18" s="223">
        <f>1000000+8653905</f>
        <v>9653905</v>
      </c>
      <c r="J18" s="223">
        <v>1000000</v>
      </c>
      <c r="K18" s="223">
        <v>3318820</v>
      </c>
      <c r="L18" s="223">
        <f>2349969-923888</f>
        <v>1426081</v>
      </c>
      <c r="M18" s="223">
        <f>4177306-2496814</f>
        <v>1680492</v>
      </c>
      <c r="N18" s="223">
        <f>3420602+100</f>
        <v>3420702</v>
      </c>
      <c r="O18" s="225">
        <f>SUM(C18:N18)</f>
        <v>48500000</v>
      </c>
      <c r="Q18" s="201">
        <f>Mérleg!F22</f>
        <v>48500000</v>
      </c>
      <c r="R18" s="201">
        <f t="shared" si="2"/>
        <v>4041666.6666666665</v>
      </c>
      <c r="S18" s="201">
        <f t="shared" si="3"/>
        <v>0</v>
      </c>
    </row>
    <row r="19" spans="1:19" s="201" customFormat="1" ht="12.75">
      <c r="A19" s="14" t="s">
        <v>31</v>
      </c>
      <c r="B19" s="221" t="s">
        <v>190</v>
      </c>
      <c r="C19" s="223">
        <v>0</v>
      </c>
      <c r="D19" s="223">
        <v>0</v>
      </c>
      <c r="E19" s="223">
        <v>0</v>
      </c>
      <c r="F19" s="223">
        <v>0</v>
      </c>
      <c r="G19" s="223">
        <v>382041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5">
        <f t="shared" si="1"/>
        <v>382041</v>
      </c>
      <c r="Q19" s="201">
        <f>Mérleg!F23</f>
        <v>382041</v>
      </c>
      <c r="R19" s="201">
        <f t="shared" si="2"/>
        <v>31836.75</v>
      </c>
      <c r="S19" s="201">
        <f t="shared" si="3"/>
        <v>0</v>
      </c>
    </row>
    <row r="20" spans="1:19" s="201" customFormat="1" ht="12.75">
      <c r="A20" s="14" t="s">
        <v>32</v>
      </c>
      <c r="B20" s="221" t="s">
        <v>247</v>
      </c>
      <c r="C20" s="223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5">
        <f t="shared" si="1"/>
        <v>0</v>
      </c>
      <c r="Q20" s="201">
        <f>Mérleg!F24</f>
        <v>0</v>
      </c>
      <c r="R20" s="201">
        <f t="shared" si="2"/>
        <v>0</v>
      </c>
      <c r="S20" s="201">
        <f t="shared" si="3"/>
        <v>0</v>
      </c>
    </row>
    <row r="21" spans="1:19" s="201" customFormat="1" ht="12.75">
      <c r="A21" s="14" t="s">
        <v>8</v>
      </c>
      <c r="B21" s="221" t="s">
        <v>195</v>
      </c>
      <c r="C21" s="223">
        <v>0</v>
      </c>
      <c r="D21" s="223">
        <v>0</v>
      </c>
      <c r="E21" s="223">
        <v>0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5">
        <f t="shared" si="1"/>
        <v>0</v>
      </c>
      <c r="Q21" s="201">
        <v>0</v>
      </c>
      <c r="R21" s="201">
        <f t="shared" si="2"/>
        <v>0</v>
      </c>
      <c r="S21" s="201">
        <f t="shared" si="3"/>
        <v>0</v>
      </c>
    </row>
    <row r="22" spans="1:19" s="201" customFormat="1" ht="12.75">
      <c r="A22" s="14" t="s">
        <v>9</v>
      </c>
      <c r="B22" s="221" t="s">
        <v>272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5">
        <f t="shared" si="1"/>
        <v>0</v>
      </c>
      <c r="Q22" s="201">
        <v>0</v>
      </c>
      <c r="R22" s="201">
        <f t="shared" si="2"/>
        <v>0</v>
      </c>
      <c r="S22" s="201">
        <f t="shared" si="3"/>
        <v>0</v>
      </c>
    </row>
    <row r="23" spans="1:19" s="201" customFormat="1" ht="12.75">
      <c r="A23" s="14" t="s">
        <v>10</v>
      </c>
      <c r="B23" s="221" t="s">
        <v>248</v>
      </c>
      <c r="C23" s="223">
        <v>1385071</v>
      </c>
      <c r="D23" s="223">
        <v>6752041</v>
      </c>
      <c r="E23" s="223">
        <v>4454165</v>
      </c>
      <c r="F23" s="223">
        <v>8935071</v>
      </c>
      <c r="G23" s="223">
        <v>3376318</v>
      </c>
      <c r="H23" s="223">
        <v>10167052</v>
      </c>
      <c r="I23" s="223">
        <v>4746774</v>
      </c>
      <c r="J23" s="223">
        <v>11308586</v>
      </c>
      <c r="K23" s="223">
        <v>5423782</v>
      </c>
      <c r="L23" s="223">
        <v>606000</v>
      </c>
      <c r="M23" s="223">
        <v>6222936</v>
      </c>
      <c r="N23" s="223">
        <v>1412269</v>
      </c>
      <c r="O23" s="225">
        <f t="shared" si="1"/>
        <v>64790065</v>
      </c>
      <c r="Q23" s="201">
        <f>Mérleg!F34+Mérleg!F19</f>
        <v>64493522</v>
      </c>
      <c r="R23" s="201">
        <f t="shared" si="2"/>
        <v>5374460.166666667</v>
      </c>
      <c r="S23" s="201">
        <f t="shared" si="3"/>
        <v>-296543</v>
      </c>
    </row>
    <row r="24" spans="1:17" s="201" customFormat="1" ht="19.5" customHeight="1" thickBot="1">
      <c r="A24" s="14" t="s">
        <v>11</v>
      </c>
      <c r="B24" s="226" t="s">
        <v>155</v>
      </c>
      <c r="C24" s="227">
        <f aca="true" t="shared" si="4" ref="C24:O24">SUM(C13:C23)</f>
        <v>14335071</v>
      </c>
      <c r="D24" s="227">
        <f t="shared" si="4"/>
        <v>17552041</v>
      </c>
      <c r="E24" s="227">
        <f t="shared" si="4"/>
        <v>19354165</v>
      </c>
      <c r="F24" s="227">
        <f t="shared" si="4"/>
        <v>19835071</v>
      </c>
      <c r="G24" s="227">
        <f t="shared" si="4"/>
        <v>21958359</v>
      </c>
      <c r="H24" s="227">
        <f t="shared" si="4"/>
        <v>48687052</v>
      </c>
      <c r="I24" s="227">
        <f t="shared" si="4"/>
        <v>25749672</v>
      </c>
      <c r="J24" s="227">
        <f t="shared" si="4"/>
        <v>18049461</v>
      </c>
      <c r="K24" s="227">
        <f t="shared" si="4"/>
        <v>24442602</v>
      </c>
      <c r="L24" s="227">
        <f t="shared" si="4"/>
        <v>17926081</v>
      </c>
      <c r="M24" s="227">
        <f t="shared" si="4"/>
        <v>24203428</v>
      </c>
      <c r="N24" s="227">
        <f t="shared" si="4"/>
        <v>18367971</v>
      </c>
      <c r="O24" s="228">
        <f t="shared" si="4"/>
        <v>270460974</v>
      </c>
      <c r="P24" s="217"/>
      <c r="Q24" s="201">
        <f>SUM(Q14:Q23)</f>
        <v>270164431</v>
      </c>
    </row>
    <row r="25" spans="1:15" s="201" customFormat="1" ht="19.5" customHeight="1" thickTop="1">
      <c r="A25" s="14" t="s">
        <v>45</v>
      </c>
      <c r="B25" s="229" t="s">
        <v>156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</row>
    <row r="26" spans="1:19" s="201" customFormat="1" ht="12.75">
      <c r="A26" s="14" t="s">
        <v>46</v>
      </c>
      <c r="B26" s="221" t="s">
        <v>210</v>
      </c>
      <c r="C26" s="223">
        <v>5000000</v>
      </c>
      <c r="D26" s="223">
        <v>5000000</v>
      </c>
      <c r="E26" s="223">
        <v>5000000</v>
      </c>
      <c r="F26" s="223">
        <v>5000000</v>
      </c>
      <c r="G26" s="223">
        <v>5000000</v>
      </c>
      <c r="H26" s="223">
        <f>5000000+900000</f>
        <v>5900000</v>
      </c>
      <c r="I26" s="223">
        <f>5000000+939565</f>
        <v>5939565</v>
      </c>
      <c r="J26" s="223">
        <v>5000000</v>
      </c>
      <c r="K26" s="223">
        <v>5000000</v>
      </c>
      <c r="L26" s="223">
        <v>5000000</v>
      </c>
      <c r="M26" s="223">
        <v>5000000</v>
      </c>
      <c r="N26" s="223">
        <f>5004169-56000-30</f>
        <v>4948139</v>
      </c>
      <c r="O26" s="225">
        <f>SUM(C26:N26)</f>
        <v>61787704</v>
      </c>
      <c r="Q26" s="201">
        <f>Mérleg!K15</f>
        <v>61787704</v>
      </c>
      <c r="R26" s="201">
        <f>Q26/12</f>
        <v>5148975.333333333</v>
      </c>
      <c r="S26" s="201">
        <f>Q26-O26</f>
        <v>0</v>
      </c>
    </row>
    <row r="27" spans="1:19" s="201" customFormat="1" ht="12.75">
      <c r="A27" s="14" t="s">
        <v>47</v>
      </c>
      <c r="B27" s="221" t="s">
        <v>254</v>
      </c>
      <c r="C27" s="223">
        <v>747071</v>
      </c>
      <c r="D27" s="223">
        <v>747041</v>
      </c>
      <c r="E27" s="223">
        <v>747071</v>
      </c>
      <c r="F27" s="223">
        <v>747071</v>
      </c>
      <c r="G27" s="223">
        <v>747071</v>
      </c>
      <c r="H27" s="223">
        <f>747071+81304</f>
        <v>828375</v>
      </c>
      <c r="I27" s="223">
        <f>747071+81304</f>
        <v>828375</v>
      </c>
      <c r="J27" s="223">
        <v>747071</v>
      </c>
      <c r="K27" s="223">
        <v>747071</v>
      </c>
      <c r="L27" s="223">
        <v>747071</v>
      </c>
      <c r="M27" s="223">
        <v>747071</v>
      </c>
      <c r="N27" s="223">
        <f>747107+56000</f>
        <v>803107</v>
      </c>
      <c r="O27" s="225">
        <f aca="true" t="shared" si="5" ref="O27:O37">SUM(C27:N27)</f>
        <v>9183466</v>
      </c>
      <c r="Q27" s="201">
        <f>Mérleg!K16</f>
        <v>9183466</v>
      </c>
      <c r="R27" s="201">
        <f aca="true" t="shared" si="6" ref="R27:R34">Q27/12</f>
        <v>765288.8333333334</v>
      </c>
      <c r="S27" s="201">
        <f aca="true" t="shared" si="7" ref="S27:S34">Q27-O27</f>
        <v>0</v>
      </c>
    </row>
    <row r="28" spans="1:19" s="201" customFormat="1" ht="12.75">
      <c r="A28" s="14" t="s">
        <v>48</v>
      </c>
      <c r="B28" s="221" t="s">
        <v>212</v>
      </c>
      <c r="C28" s="223">
        <v>8500000</v>
      </c>
      <c r="D28" s="223">
        <v>8500000</v>
      </c>
      <c r="E28" s="223">
        <f>1500000+2019094</f>
        <v>3519094</v>
      </c>
      <c r="F28" s="223">
        <v>9000000</v>
      </c>
      <c r="G28" s="223">
        <v>9000000</v>
      </c>
      <c r="H28" s="223">
        <v>8670677</v>
      </c>
      <c r="I28" s="223">
        <v>9329323</v>
      </c>
      <c r="J28" s="223">
        <f>9263251-57216</f>
        <v>9206035</v>
      </c>
      <c r="K28" s="223">
        <f>9000000+609531</f>
        <v>9609531</v>
      </c>
      <c r="L28" s="223">
        <v>8924010</v>
      </c>
      <c r="M28" s="223">
        <v>8500000</v>
      </c>
      <c r="N28" s="223">
        <v>8500000</v>
      </c>
      <c r="O28" s="225">
        <f t="shared" si="5"/>
        <v>101258670</v>
      </c>
      <c r="Q28" s="201">
        <f>Mérleg!K17</f>
        <v>101258670</v>
      </c>
      <c r="R28" s="201">
        <f t="shared" si="6"/>
        <v>8438222.5</v>
      </c>
      <c r="S28" s="201">
        <f t="shared" si="7"/>
        <v>0</v>
      </c>
    </row>
    <row r="29" spans="1:19" s="201" customFormat="1" ht="12.75">
      <c r="A29" s="14" t="s">
        <v>49</v>
      </c>
      <c r="B29" s="221" t="s">
        <v>213</v>
      </c>
      <c r="C29" s="223">
        <v>88000</v>
      </c>
      <c r="D29" s="223">
        <v>205000</v>
      </c>
      <c r="E29" s="223">
        <v>88000</v>
      </c>
      <c r="F29" s="223">
        <v>88000</v>
      </c>
      <c r="G29" s="223">
        <v>88000</v>
      </c>
      <c r="H29" s="223">
        <v>88000</v>
      </c>
      <c r="I29" s="223">
        <v>200000</v>
      </c>
      <c r="J29" s="223">
        <v>88000</v>
      </c>
      <c r="K29" s="223">
        <v>86000</v>
      </c>
      <c r="L29" s="223">
        <v>255000</v>
      </c>
      <c r="M29" s="223">
        <v>88000</v>
      </c>
      <c r="N29" s="223">
        <f>88000+194310</f>
        <v>282310</v>
      </c>
      <c r="O29" s="225">
        <f t="shared" si="5"/>
        <v>1644310</v>
      </c>
      <c r="Q29" s="201">
        <f>Mérleg!K18</f>
        <v>1644310</v>
      </c>
      <c r="R29" s="201">
        <f t="shared" si="6"/>
        <v>137025.83333333334</v>
      </c>
      <c r="S29" s="201">
        <f t="shared" si="7"/>
        <v>0</v>
      </c>
    </row>
    <row r="30" spans="1:19" s="201" customFormat="1" ht="12.75">
      <c r="A30" s="14" t="s">
        <v>60</v>
      </c>
      <c r="B30" s="221" t="s">
        <v>214</v>
      </c>
      <c r="C30" s="223">
        <v>0</v>
      </c>
      <c r="D30" s="223">
        <v>2100000</v>
      </c>
      <c r="E30" s="223">
        <v>6000000</v>
      </c>
      <c r="F30" s="223">
        <v>0</v>
      </c>
      <c r="G30" s="223">
        <v>0</v>
      </c>
      <c r="H30" s="223">
        <v>1200000</v>
      </c>
      <c r="I30" s="223">
        <v>0</v>
      </c>
      <c r="J30" s="223">
        <v>0</v>
      </c>
      <c r="K30" s="223">
        <v>3000000</v>
      </c>
      <c r="L30" s="223">
        <v>0</v>
      </c>
      <c r="M30" s="223">
        <v>0</v>
      </c>
      <c r="N30" s="223">
        <f>1220000+480000</f>
        <v>1700000</v>
      </c>
      <c r="O30" s="225">
        <f t="shared" si="5"/>
        <v>14000000</v>
      </c>
      <c r="Q30" s="201">
        <f>Mérleg!K19</f>
        <v>14000000</v>
      </c>
      <c r="R30" s="201">
        <f t="shared" si="6"/>
        <v>1166666.6666666667</v>
      </c>
      <c r="S30" s="201">
        <f t="shared" si="7"/>
        <v>0</v>
      </c>
    </row>
    <row r="31" spans="1:19" s="201" customFormat="1" ht="12.75">
      <c r="A31" s="14" t="s">
        <v>61</v>
      </c>
      <c r="B31" s="221" t="s">
        <v>217</v>
      </c>
      <c r="C31" s="223">
        <v>0</v>
      </c>
      <c r="D31" s="223">
        <v>0</v>
      </c>
      <c r="E31" s="223">
        <v>2000000</v>
      </c>
      <c r="F31" s="223">
        <v>2000000</v>
      </c>
      <c r="G31" s="223">
        <v>5000000</v>
      </c>
      <c r="H31" s="223">
        <v>8000000</v>
      </c>
      <c r="I31" s="223">
        <f>7613409-161000</f>
        <v>7452409</v>
      </c>
      <c r="J31" s="223">
        <v>1000000</v>
      </c>
      <c r="K31" s="223">
        <v>3000000</v>
      </c>
      <c r="L31" s="223">
        <v>2000000</v>
      </c>
      <c r="M31" s="223">
        <v>3000000</v>
      </c>
      <c r="N31" s="223">
        <v>1134415</v>
      </c>
      <c r="O31" s="225">
        <f t="shared" si="5"/>
        <v>34586824</v>
      </c>
      <c r="Q31" s="201">
        <f>Mérleg!K22</f>
        <v>34586824</v>
      </c>
      <c r="R31" s="201">
        <f t="shared" si="6"/>
        <v>2882235.3333333335</v>
      </c>
      <c r="S31" s="201">
        <f t="shared" si="7"/>
        <v>0</v>
      </c>
    </row>
    <row r="32" spans="1:19" s="201" customFormat="1" ht="12.75">
      <c r="A32" s="14" t="s">
        <v>62</v>
      </c>
      <c r="B32" s="221" t="s">
        <v>218</v>
      </c>
      <c r="C32" s="223">
        <v>0</v>
      </c>
      <c r="D32" s="223">
        <v>1000000</v>
      </c>
      <c r="E32" s="223">
        <v>2000000</v>
      </c>
      <c r="F32" s="223">
        <v>3000000</v>
      </c>
      <c r="G32" s="223">
        <v>2123288</v>
      </c>
      <c r="H32" s="223">
        <v>24000000</v>
      </c>
      <c r="I32" s="223">
        <v>2000000</v>
      </c>
      <c r="J32" s="223">
        <f>354479+1653876</f>
        <v>2008355</v>
      </c>
      <c r="K32" s="223">
        <v>3000000</v>
      </c>
      <c r="L32" s="223">
        <v>1000000</v>
      </c>
      <c r="M32" s="223">
        <f>645521+6222836</f>
        <v>6868357</v>
      </c>
      <c r="N32" s="223">
        <v>1000000</v>
      </c>
      <c r="O32" s="225">
        <f t="shared" si="5"/>
        <v>48000000</v>
      </c>
      <c r="Q32" s="201">
        <f>Mérleg!K23</f>
        <v>48000000</v>
      </c>
      <c r="R32" s="201">
        <f t="shared" si="6"/>
        <v>4000000</v>
      </c>
      <c r="S32" s="201">
        <f t="shared" si="7"/>
        <v>0</v>
      </c>
    </row>
    <row r="33" spans="1:19" s="201" customFormat="1" ht="12.75">
      <c r="A33" s="14" t="s">
        <v>63</v>
      </c>
      <c r="B33" s="221" t="s">
        <v>219</v>
      </c>
      <c r="C33" s="223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5">
        <f t="shared" si="5"/>
        <v>0</v>
      </c>
      <c r="Q33" s="201">
        <f>Mérleg!K24</f>
        <v>0</v>
      </c>
      <c r="R33" s="201">
        <f t="shared" si="6"/>
        <v>0</v>
      </c>
      <c r="S33" s="201">
        <f t="shared" si="7"/>
        <v>0</v>
      </c>
    </row>
    <row r="34" spans="1:19" s="201" customFormat="1" ht="12.75">
      <c r="A34" s="14" t="s">
        <v>64</v>
      </c>
      <c r="B34" s="221" t="s">
        <v>222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5">
        <f t="shared" si="5"/>
        <v>0</v>
      </c>
      <c r="Q34" s="201">
        <f>Mérleg!K38</f>
        <v>3609832</v>
      </c>
      <c r="R34" s="201">
        <f t="shared" si="6"/>
        <v>300819.3333333333</v>
      </c>
      <c r="S34" s="201">
        <f t="shared" si="7"/>
        <v>3609832</v>
      </c>
    </row>
    <row r="35" spans="1:15" s="201" customFormat="1" ht="12.75" hidden="1">
      <c r="A35" s="14" t="s">
        <v>65</v>
      </c>
      <c r="B35" s="221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5"/>
    </row>
    <row r="36" spans="1:15" s="201" customFormat="1" ht="12.75" hidden="1">
      <c r="A36" s="14" t="s">
        <v>66</v>
      </c>
      <c r="B36" s="221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5">
        <f t="shared" si="5"/>
        <v>0</v>
      </c>
    </row>
    <row r="37" spans="1:15" s="201" customFormat="1" ht="12.75" hidden="1">
      <c r="A37" s="14" t="s">
        <v>67</v>
      </c>
      <c r="B37" s="221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5">
        <f t="shared" si="5"/>
        <v>0</v>
      </c>
    </row>
    <row r="38" spans="1:17" s="201" customFormat="1" ht="19.5" customHeight="1" thickBot="1">
      <c r="A38" s="14" t="s">
        <v>74</v>
      </c>
      <c r="B38" s="226" t="s">
        <v>157</v>
      </c>
      <c r="C38" s="227">
        <f aca="true" t="shared" si="8" ref="C38:O38">SUM(C26:C37)</f>
        <v>14335071</v>
      </c>
      <c r="D38" s="227">
        <f t="shared" si="8"/>
        <v>17552041</v>
      </c>
      <c r="E38" s="227">
        <f t="shared" si="8"/>
        <v>19354165</v>
      </c>
      <c r="F38" s="227">
        <f t="shared" si="8"/>
        <v>19835071</v>
      </c>
      <c r="G38" s="227">
        <f t="shared" si="8"/>
        <v>21958359</v>
      </c>
      <c r="H38" s="227">
        <f t="shared" si="8"/>
        <v>48687052</v>
      </c>
      <c r="I38" s="227">
        <f t="shared" si="8"/>
        <v>25749672</v>
      </c>
      <c r="J38" s="227">
        <f t="shared" si="8"/>
        <v>18049461</v>
      </c>
      <c r="K38" s="227">
        <f t="shared" si="8"/>
        <v>24442602</v>
      </c>
      <c r="L38" s="227">
        <f t="shared" si="8"/>
        <v>17926081</v>
      </c>
      <c r="M38" s="227">
        <f t="shared" si="8"/>
        <v>24203428</v>
      </c>
      <c r="N38" s="227">
        <f t="shared" si="8"/>
        <v>18367971</v>
      </c>
      <c r="O38" s="228">
        <f t="shared" si="8"/>
        <v>270460974</v>
      </c>
      <c r="Q38" s="201">
        <f>SUM(Q26:Q37)</f>
        <v>274070806</v>
      </c>
    </row>
    <row r="39" spans="1:15" s="201" customFormat="1" ht="14.25" thickBot="1" thickTop="1">
      <c r="A39" s="14" t="s">
        <v>84</v>
      </c>
      <c r="B39" s="232" t="s">
        <v>158</v>
      </c>
      <c r="C39" s="233">
        <f aca="true" t="shared" si="9" ref="C39:N39">C24-C38</f>
        <v>0</v>
      </c>
      <c r="D39" s="233">
        <f t="shared" si="9"/>
        <v>0</v>
      </c>
      <c r="E39" s="233">
        <f t="shared" si="9"/>
        <v>0</v>
      </c>
      <c r="F39" s="233">
        <f t="shared" si="9"/>
        <v>0</v>
      </c>
      <c r="G39" s="233">
        <f t="shared" si="9"/>
        <v>0</v>
      </c>
      <c r="H39" s="233">
        <f t="shared" si="9"/>
        <v>0</v>
      </c>
      <c r="I39" s="233">
        <f t="shared" si="9"/>
        <v>0</v>
      </c>
      <c r="J39" s="233">
        <f t="shared" si="9"/>
        <v>0</v>
      </c>
      <c r="K39" s="233">
        <f t="shared" si="9"/>
        <v>0</v>
      </c>
      <c r="L39" s="233">
        <f t="shared" si="9"/>
        <v>0</v>
      </c>
      <c r="M39" s="233">
        <f t="shared" si="9"/>
        <v>0</v>
      </c>
      <c r="N39" s="233">
        <f t="shared" si="9"/>
        <v>0</v>
      </c>
      <c r="O39" s="234"/>
    </row>
    <row r="40" spans="1:15" s="201" customFormat="1" ht="14.25" thickBot="1" thickTop="1">
      <c r="A40" s="14" t="s">
        <v>85</v>
      </c>
      <c r="B40" s="232" t="s">
        <v>163</v>
      </c>
      <c r="C40" s="233">
        <f>C22</f>
        <v>0</v>
      </c>
      <c r="D40" s="233">
        <f>D22+C40</f>
        <v>0</v>
      </c>
      <c r="E40" s="233">
        <f aca="true" t="shared" si="10" ref="E40:N40">E22+D40</f>
        <v>0</v>
      </c>
      <c r="F40" s="233">
        <f t="shared" si="10"/>
        <v>0</v>
      </c>
      <c r="G40" s="233">
        <f t="shared" si="10"/>
        <v>0</v>
      </c>
      <c r="H40" s="233">
        <f t="shared" si="10"/>
        <v>0</v>
      </c>
      <c r="I40" s="233">
        <f>I22+H40</f>
        <v>0</v>
      </c>
      <c r="J40" s="233">
        <f t="shared" si="10"/>
        <v>0</v>
      </c>
      <c r="K40" s="233">
        <f>K22+J40-K34</f>
        <v>0</v>
      </c>
      <c r="L40" s="233">
        <f t="shared" si="10"/>
        <v>0</v>
      </c>
      <c r="M40" s="233">
        <f t="shared" si="10"/>
        <v>0</v>
      </c>
      <c r="N40" s="233">
        <f t="shared" si="10"/>
        <v>0</v>
      </c>
      <c r="O40" s="234"/>
    </row>
    <row r="41" ht="13.5" thickTop="1"/>
  </sheetData>
  <sheetProtection/>
  <mergeCells count="3">
    <mergeCell ref="B5:O5"/>
    <mergeCell ref="B6:O6"/>
    <mergeCell ref="B7:O7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György</dc:creator>
  <cp:keywords/>
  <dc:description/>
  <cp:lastModifiedBy>Mészárosné Szincsák Mária</cp:lastModifiedBy>
  <cp:lastPrinted>2021-02-16T09:51:13Z</cp:lastPrinted>
  <dcterms:created xsi:type="dcterms:W3CDTF">2000-01-14T12:27:26Z</dcterms:created>
  <dcterms:modified xsi:type="dcterms:W3CDTF">2021-02-23T13:40:59Z</dcterms:modified>
  <cp:category/>
  <cp:version/>
  <cp:contentType/>
  <cp:contentStatus/>
</cp:coreProperties>
</file>