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160" windowHeight="6585" tabRatio="895" firstSheet="21" activeTab="30"/>
  </bookViews>
  <sheets>
    <sheet name="bev" sheetId="1" r:id="rId1"/>
    <sheet name="hiv" sheetId="2" r:id="rId2"/>
    <sheet name="körj" sheetId="3" r:id="rId3"/>
    <sheet name="isk" sheetId="4" r:id="rId4"/>
    <sheet name="teü" sheetId="5" r:id="rId5"/>
    <sheet name="fsp" sheetId="6" r:id="rId6"/>
    <sheet name="elsz" sheetId="7" r:id="rId7"/>
    <sheet name="iét" sheetId="8" r:id="rId8"/>
    <sheet name="étk" sheetId="9" r:id="rId9"/>
    <sheet name="állt" sheetId="10" r:id="rId10"/>
    <sheet name="fáp" sheetId="11" r:id="rId11"/>
    <sheet name="rszs" sheetId="12" r:id="rId12"/>
    <sheet name="náp" sheetId="13" r:id="rId13"/>
    <sheet name="máp" sheetId="14" r:id="rId14"/>
    <sheet name="lft" sheetId="15" r:id="rId15"/>
    <sheet name="társb" sheetId="16" r:id="rId16"/>
    <sheet name="hil" sheetId="17" r:id="rId17"/>
    <sheet name="kab" sheetId="18" r:id="rId18"/>
    <sheet name="kjb" sheetId="19" r:id="rId19"/>
    <sheet name="átad" sheetId="20" r:id="rId20"/>
    <sheet name="beö" sheetId="21" r:id="rId21"/>
    <sheet name="kiö" sheetId="22" r:id="rId22"/>
    <sheet name="rem1 " sheetId="23" r:id="rId23"/>
    <sheet name="rem2" sheetId="24" r:id="rId24"/>
    <sheet name="rem3" sheetId="25" r:id="rId25"/>
    <sheet name="rem4" sheetId="26" r:id="rId26"/>
    <sheet name="rem5" sheetId="27" r:id="rId27"/>
    <sheet name="rem6" sheetId="28" r:id="rId28"/>
    <sheet name="rem7" sheetId="29" r:id="rId29"/>
    <sheet name="rem8" sheetId="30" r:id="rId30"/>
    <sheet name="rem9" sheetId="31" r:id="rId31"/>
    <sheet name="rem10" sheetId="32" r:id="rId32"/>
    <sheet name="rem11" sheetId="33" r:id="rId33"/>
    <sheet name="közpfor." sheetId="34" r:id="rId34"/>
    <sheet name="Munka2" sheetId="35" r:id="rId35"/>
    <sheet name="Munka1" sheetId="36" r:id="rId36"/>
  </sheets>
  <definedNames>
    <definedName name="_xlnm.Print_Area" localSheetId="9">'állt'!$A:$IV</definedName>
    <definedName name="_xlnm.Print_Area" localSheetId="19">'átad'!$A:$IV</definedName>
    <definedName name="_xlnm.Print_Area" localSheetId="17">'kab'!$A$1:$S$41</definedName>
    <definedName name="_xlnm.Print_Area" localSheetId="29">'rem8'!$A:$IV</definedName>
    <definedName name="_xlnm.Print_Area" localSheetId="15">'társb'!$A$1:$AJ$47</definedName>
  </definedNames>
  <calcPr fullCalcOnLoad="1"/>
</workbook>
</file>

<file path=xl/comments21.xml><?xml version="1.0" encoding="utf-8"?>
<comments xmlns="http://schemas.openxmlformats.org/spreadsheetml/2006/main">
  <authors>
    <author>fgdg</author>
  </authors>
  <commentList>
    <comment ref="V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W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X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Z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AA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<sst xmlns="http://schemas.openxmlformats.org/spreadsheetml/2006/main" count="3058" uniqueCount="1643">
  <si>
    <t>Működésre átvett fejezeti kezelésű előirányzatból</t>
  </si>
  <si>
    <t xml:space="preserve">        %-os EHÓ</t>
  </si>
  <si>
    <t>EHÓ</t>
  </si>
  <si>
    <t xml:space="preserve">            Könyv beszerzés</t>
  </si>
  <si>
    <t xml:space="preserve">            Folyóirat beszerzés</t>
  </si>
  <si>
    <t xml:space="preserve">            Egyéb információ hordozó</t>
  </si>
  <si>
    <t xml:space="preserve">            Szakmai anyag</t>
  </si>
  <si>
    <t xml:space="preserve">            Kisértékű tárgyi eszköz beszerzés</t>
  </si>
  <si>
    <t>Repi kiadás alapja</t>
  </si>
  <si>
    <t>Felhalmozásra átadott pénzeszközök ÁHT-n belülre</t>
  </si>
  <si>
    <t>Könyv beszerzés</t>
  </si>
  <si>
    <t>Folyóirat beszerzés</t>
  </si>
  <si>
    <t>Egyéb információ hordozó</t>
  </si>
  <si>
    <t xml:space="preserve">Szakmai anyag </t>
  </si>
  <si>
    <t>Kisértékű tárgyi eszköz</t>
  </si>
  <si>
    <t>Működésre átvett ÁHT-n belülről</t>
  </si>
  <si>
    <t>Intézmény finanszirozás</t>
  </si>
  <si>
    <t xml:space="preserve">            helyettesek ktgtérit</t>
  </si>
  <si>
    <t>gyermekjólétre  kistérségnek átadott pénzeszköz</t>
  </si>
  <si>
    <t>Kistérségnek átadott pénzeszköz</t>
  </si>
  <si>
    <t>85324-4</t>
  </si>
  <si>
    <t xml:space="preserve">        5%-os ÁFA</t>
  </si>
  <si>
    <t xml:space="preserve">      20 %-os ÁFA</t>
  </si>
  <si>
    <t>Helyi közművelődés támogatása</t>
  </si>
  <si>
    <t>Települési sport feladatok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</si>
  <si>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</si>
  <si>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</si>
  <si>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</si>
  <si>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</si>
  <si>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</si>
  <si>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</si>
  <si>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</si>
  <si>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</si>
  <si>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</si>
  <si>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</si>
  <si>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</si>
  <si>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</si>
  <si>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</si>
  <si>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kedvezményes étk aránya</t>
  </si>
  <si>
    <t>terv létszám</t>
  </si>
  <si>
    <t>100%-os térítés</t>
  </si>
  <si>
    <t>100 %-os térítés</t>
  </si>
  <si>
    <t>munkahelyi étkezők száma  ebéd fő</t>
  </si>
  <si>
    <t>egyedi határozattal megállapitott kedvezmény (75 % )</t>
  </si>
  <si>
    <t xml:space="preserve">        költségvetési törvény 4.sz.melléklet</t>
  </si>
  <si>
    <t xml:space="preserve">   Kiegészítés az adóerő képesség szerint</t>
  </si>
  <si>
    <t xml:space="preserve">         1 főre jutó SZJA Ft/fő</t>
  </si>
  <si>
    <t xml:space="preserve">          adóerő képesség Ft/fő</t>
  </si>
  <si>
    <t xml:space="preserve">         kiegészítésnél figyelembe veendő határ</t>
  </si>
  <si>
    <t xml:space="preserve">   Normatívan elosztott SZJA</t>
  </si>
  <si>
    <t>Általános tartalék</t>
  </si>
  <si>
    <t>Részletes számítások a 2 számú mellékleten</t>
  </si>
  <si>
    <t>tájékoztató adat</t>
  </si>
  <si>
    <t>Társ gazd szempontból elm tel.tám</t>
  </si>
  <si>
    <t>Személyi jövedelem adó  összesen</t>
  </si>
  <si>
    <t>Termőföld bérbeadásából származó SzJA</t>
  </si>
  <si>
    <t>Átengedett Központi adók összesen</t>
  </si>
  <si>
    <t>Felhalmozási és tőke jellegű bevételek</t>
  </si>
  <si>
    <t xml:space="preserve">         egyéb önkormányzati vagyon bevétele</t>
  </si>
  <si>
    <t xml:space="preserve">                      szennyvíz rákötési jog értékesítése</t>
  </si>
  <si>
    <t>Egyéb feltételtől függő pótlék.</t>
  </si>
  <si>
    <t>Egyéb juttatás</t>
  </si>
  <si>
    <t>Teljes munkaidőben foglalkozt.rendszeres szem jutat.</t>
  </si>
  <si>
    <t>részmunkaidősök rendsz szem juttat.</t>
  </si>
  <si>
    <t>jutalom</t>
  </si>
  <si>
    <t>túlóra,túlszolg</t>
  </si>
  <si>
    <t>készenlét,ügyelet, helyettesítés</t>
  </si>
  <si>
    <t>Egyéb munkavégzéshez kapcs,juttat.</t>
  </si>
  <si>
    <t>Teljes munkaidőben foglalkozt.munkavégz kapcs juttatás</t>
  </si>
  <si>
    <t>Részmunkaidősök munkavégzéshez kapcs juttat.</t>
  </si>
  <si>
    <t>Munkavégzéshez kapcs juttatások</t>
  </si>
  <si>
    <t>végkielégítés</t>
  </si>
  <si>
    <t>napidij</t>
  </si>
  <si>
    <t>biztosítási dijak</t>
  </si>
  <si>
    <t>egyéb sajátos juttatások</t>
  </si>
  <si>
    <t>Telj munkaidőben foglalk.sajátos juttatásai</t>
  </si>
  <si>
    <t>13.Ktgvet cím eü, szoc pol</t>
  </si>
  <si>
    <t>14 ktgvet cím étkeztetés</t>
  </si>
  <si>
    <t>15.ktgvet cím. Önk elsz.</t>
  </si>
  <si>
    <t>11. Költségvetési cím Oktatási intézmények üzemeltetése</t>
  </si>
  <si>
    <t>12.Költségvetési  cím Település üzemeltetés</t>
  </si>
  <si>
    <t>12. Költségvetési cím összesen</t>
  </si>
  <si>
    <t>13. Költségvetési cím: Egészségügy, Foglalkoztatás és szociálpolitikai feladatok</t>
  </si>
  <si>
    <t xml:space="preserve">2007.évi teljesített nettó bevétel </t>
  </si>
  <si>
    <t xml:space="preserve">15. Költségvetési cím Önkormányzat elszámolásai </t>
  </si>
  <si>
    <t>14. Költségvetési cím  étkeztetési feladatok</t>
  </si>
  <si>
    <t>Részmunkaidőben foglalk.sajátos juttatásai</t>
  </si>
  <si>
    <t>Foglalkoztatottak sajátos juttatásai</t>
  </si>
  <si>
    <t>közlekedési ktg térités</t>
  </si>
  <si>
    <t>Egyéb ktg térités</t>
  </si>
  <si>
    <t>Teljes munkaidőben fogalakozt.személyhez kapcs ktg téritései.</t>
  </si>
  <si>
    <t>Személyhez kapcsolódó ktg térités hozzájár.</t>
  </si>
  <si>
    <t>Teljes munkaidőben fogalakozt.szociális juttatásai</t>
  </si>
  <si>
    <t>Hónap</t>
  </si>
  <si>
    <t xml:space="preserve">aktiv korú nem foglalkoztatott </t>
  </si>
  <si>
    <t>kifizetett összes támogatás</t>
  </si>
  <si>
    <t>támogatási alap összeg</t>
  </si>
  <si>
    <t>teljesösszesgű támogatásban részesülők száma</t>
  </si>
  <si>
    <t>kifizetett teljes összegü támogatás</t>
  </si>
  <si>
    <t>részösszegű támogatás ideje nap</t>
  </si>
  <si>
    <t>kifizetett rész összegü támogatás</t>
  </si>
  <si>
    <t>teljesösszegű támogatásban részesülők száma</t>
  </si>
  <si>
    <t>átlag létszám</t>
  </si>
  <si>
    <t>tervezett</t>
  </si>
  <si>
    <t>Kifizetés hónapja</t>
  </si>
  <si>
    <t>teljes összegű támogatottak száma fő</t>
  </si>
  <si>
    <t>részösszegű támogatás támogatási nap</t>
  </si>
  <si>
    <t>Támogatási összeg Ft/fő/hó</t>
  </si>
  <si>
    <t>Kifizetett teljes összegű támogatás Ft</t>
  </si>
  <si>
    <t>Költségnem</t>
  </si>
  <si>
    <t>7.havi összesen</t>
  </si>
  <si>
    <t>8.havi összesen</t>
  </si>
  <si>
    <t>Mindösszesen</t>
  </si>
  <si>
    <t>Kiadás összesen</t>
  </si>
  <si>
    <t>Utalandó</t>
  </si>
  <si>
    <t>Oktatási normatívák 2/13 része julius agusztusban utalt</t>
  </si>
  <si>
    <t xml:space="preserve">Ezen a szakfeladaton kell tervezni és elszámolni azoknak a háziorvosi szolgálathoz kapcsolódó alaptevékenységgel összefüggő diagnosztikai és terápiás szolgáltatásoknak a bevételeit és kiadásait melyek biztosítása nem szakellátás keretében történik. Ezen a szakfeladaton tervezzük meg az ügyeletre, fizikoterápiára és labor működésre Polgárnak átadott pénzeszközt. </t>
  </si>
  <si>
    <t>Ezen a szakfeladaton kell tervezni és elszámolni a családsegítő-, és gyermekjóléti szolgálatok működésével kapcsolatos kiadásokat és bevételeket. A feladat ellátása polgárnak átadott pénzeszköz segítségével történik a kis térségi társulás magállapodása alapján.</t>
  </si>
  <si>
    <t xml:space="preserve">           tanulói bérlet támogatás</t>
  </si>
  <si>
    <t xml:space="preserve">          50% kedvezményben részesülők aránya</t>
  </si>
  <si>
    <t xml:space="preserve">            Iskola tej</t>
  </si>
  <si>
    <t>14.Költségvetési cím összesen</t>
  </si>
  <si>
    <t>Ezen a szakfeladaton kell tervezni és elszámolni a képviselők és polgármester tisztelet diját, megállapodás alapján a hivatal épületének müködési kiadásait. A hivatal munkájához szükséges beszerzések  szakkönyv,nyomtatvány stb.kiadásait.</t>
  </si>
  <si>
    <t>Müködésre átadott pénzeszközök ÁHT belülre</t>
  </si>
  <si>
    <t xml:space="preserve">      Katasztrófavédelem támogatása</t>
  </si>
  <si>
    <t>Müködésre átadott pénzeszközök ÁHT kivülre</t>
  </si>
  <si>
    <t>Felhalmozásra átadott pénzeszközök ÁHT-n kívülre</t>
  </si>
  <si>
    <t>Állományba nem tartozók juttatásai</t>
  </si>
  <si>
    <t>Tartalékos állományuak juttat.</t>
  </si>
  <si>
    <t>Katonai és rendvéd.tanintézeti halgatók juttat.</t>
  </si>
  <si>
    <t>Sorkatonai, polgári  szolg.telj.,juttat</t>
  </si>
  <si>
    <t>Fegyveres erők állományába nem tart.juttat.</t>
  </si>
  <si>
    <t>TB járulék</t>
  </si>
  <si>
    <t>Munkáltatót terhelő Tp hozzájárulás</t>
  </si>
  <si>
    <t>Munkaadót terhelő járulék ÁHT-n kivülre</t>
  </si>
  <si>
    <t>Munkaadókat terhelő egyéb járulékok</t>
  </si>
  <si>
    <t>Munkaadókat terhelő  járulékok összesen</t>
  </si>
  <si>
    <t>Élelmiszer</t>
  </si>
  <si>
    <t>gyógyszer, vegyszer</t>
  </si>
  <si>
    <t>Irodaszer nyomtatvány</t>
  </si>
  <si>
    <t>Tüzelőanyag</t>
  </si>
  <si>
    <t>Hajtó és kenő anyagok</t>
  </si>
  <si>
    <t>Munka-, védőruha</t>
  </si>
  <si>
    <t>Egyéb készletek</t>
  </si>
  <si>
    <t>Működési bevételek</t>
  </si>
  <si>
    <t>Készlet beszerzés összesen</t>
  </si>
  <si>
    <t>Nem adatátviteli célú távközlés</t>
  </si>
  <si>
    <t>Adatátviteli célú távközlés</t>
  </si>
  <si>
    <t>Kommunikációs szolgáltatások összesen</t>
  </si>
  <si>
    <t>Vásárolt élelmezés</t>
  </si>
  <si>
    <t>Bérleti és lizing díjak</t>
  </si>
  <si>
    <t>Szállitási szolgáltatás</t>
  </si>
  <si>
    <t>Gázenergia szolgáltatás</t>
  </si>
  <si>
    <t>75175-7 Önkormányzati intézmények ellátó és kisegítő szolgálatai</t>
  </si>
  <si>
    <t>Gázenergia</t>
  </si>
  <si>
    <t>Villamos energia</t>
  </si>
  <si>
    <t>Viíz és csatorna</t>
  </si>
  <si>
    <t xml:space="preserve">egyéb üzemeltetési szolgáltatás </t>
  </si>
  <si>
    <t>85325-5</t>
  </si>
  <si>
    <t>Képviselők, alpolgármester juttatásai</t>
  </si>
  <si>
    <t>havi kiadás</t>
  </si>
  <si>
    <t>éves szinten</t>
  </si>
  <si>
    <t>Rendszeres személyi juttatás</t>
  </si>
  <si>
    <t>Nem rendszeres személyi juttatások</t>
  </si>
  <si>
    <t>Munkavégzéshez kapcsolódó juttatások</t>
  </si>
  <si>
    <t>Foglalkoztattottak sajátos juttatásai</t>
  </si>
  <si>
    <t>Személyhez kapcsolódó költségtéritések</t>
  </si>
  <si>
    <t>Ruházati ktg térités</t>
  </si>
  <si>
    <t>Üdülési hozzájárulás</t>
  </si>
  <si>
    <t>Közlekedési ktg térités</t>
  </si>
  <si>
    <t>Étkezési hozzájárulás</t>
  </si>
  <si>
    <t xml:space="preserve">    foglalkoztatott létszám fő</t>
  </si>
  <si>
    <t>Személyhez kapcsolódó költségtérítések</t>
  </si>
  <si>
    <t>Személyi juttatás összesen</t>
  </si>
  <si>
    <t>Munkaadót terhelő járulékok</t>
  </si>
  <si>
    <t>járulék alap</t>
  </si>
  <si>
    <t>Járulék 3%</t>
  </si>
  <si>
    <t>Munkaadói járulék</t>
  </si>
  <si>
    <t xml:space="preserve">    Foglalkoztatható létszám fő/11 hó</t>
  </si>
  <si>
    <t xml:space="preserve">    tervezett  létszám</t>
  </si>
  <si>
    <t>75175-7 Szakfeladat összesen</t>
  </si>
  <si>
    <t>Ezen a szakfeladaton kell tervezni és elszámolni a község üzemeltetéssel kapcsolatos más szakfeladatokhoz nem köthető kiadásokat.A közhasznú fogalalkoztatással kapcsolatban a pályázatban nem szerepeltethető kiadásokat  (szerszám munkaruha stb )</t>
  </si>
  <si>
    <t>85123-1 Kiegészítő alapellátási szolgáltatások</t>
  </si>
  <si>
    <t>Működésre átadott ÁHT-n belűlre</t>
  </si>
  <si>
    <t>85123-1 Szakfeladat összesen</t>
  </si>
  <si>
    <t>85129-7 Védőnői szolgálat</t>
  </si>
  <si>
    <t>Ezen a szakfeladaton kell tervezni és elszámolni a védőnők tevékenységével kapcsolatos kiadásokat és bevételeket</t>
  </si>
  <si>
    <t xml:space="preserve">    Közalkalmazottak alapilletménye</t>
  </si>
  <si>
    <t xml:space="preserve">    alapilletmény összesen</t>
  </si>
  <si>
    <t xml:space="preserve">    Közalkalmazottak  nem kötelező pótléka</t>
  </si>
  <si>
    <t xml:space="preserve">      Közlekedési ktg térités</t>
  </si>
  <si>
    <t xml:space="preserve">     étkezési utalvány  fő/hó</t>
  </si>
  <si>
    <t>Gyógyszer vegyszer beszerzés</t>
  </si>
  <si>
    <t xml:space="preserve">      labor vizsgálatokhoz reagensek, kálilug stb</t>
  </si>
  <si>
    <t>Munka-, védőruha  ( munka köppeny )</t>
  </si>
  <si>
    <t xml:space="preserve">Nem adatátviteli távközlés </t>
  </si>
  <si>
    <t>egyéb üzemeltetési szolgáltatás</t>
  </si>
  <si>
    <t>85129-7 szakfeladat összesen</t>
  </si>
  <si>
    <t xml:space="preserve">      Iparűzési adó</t>
  </si>
  <si>
    <t xml:space="preserve">        helyben képződött SZJA 8%</t>
  </si>
  <si>
    <t>Munkaadókat terhelő járulékok össz.</t>
  </si>
  <si>
    <t>ÁFA kiadás</t>
  </si>
  <si>
    <t>Kiküldetés,reprezentció</t>
  </si>
  <si>
    <t>Különféle költségvetési befizetések</t>
  </si>
  <si>
    <t>Adók,dijak,befizetések</t>
  </si>
  <si>
    <t>Kamatkiadások</t>
  </si>
  <si>
    <t>Müködési célra átadott pénzeszköz államháztartáson kivülre</t>
  </si>
  <si>
    <t>Müködési célra átadott pénzeszköz államháztartáson belülre</t>
  </si>
  <si>
    <t>Müködési célú pénzeszköz átadás össz.</t>
  </si>
  <si>
    <t>Társadalom és szociálpolitikai juttatás</t>
  </si>
  <si>
    <t>Pénzesszköz átadás és egyéb tám.</t>
  </si>
  <si>
    <t>Ingatlanok felújítása</t>
  </si>
  <si>
    <t>Felújítási kiadások ÁFA</t>
  </si>
  <si>
    <t>Felújítási kiadások összesen</t>
  </si>
  <si>
    <t>Intézményi beruházási kiadások</t>
  </si>
  <si>
    <t>Ápolási dij összesen</t>
  </si>
  <si>
    <t xml:space="preserve">Lakás fenntartási támogatás </t>
  </si>
  <si>
    <t>Önkormányzat által folyósitott ellátások össz</t>
  </si>
  <si>
    <t xml:space="preserve">      Termőföld bérbeadásából származó SZJA</t>
  </si>
  <si>
    <t>Átengedett központi adók összesen</t>
  </si>
  <si>
    <t>Önkormányz. sajátos müköd. bevét. össz.</t>
  </si>
  <si>
    <t xml:space="preserve">Személyi juttatások </t>
  </si>
  <si>
    <t xml:space="preserve">Munkaadókat terhelő járulékok </t>
  </si>
  <si>
    <t>Dologi jellegü kiadások</t>
  </si>
  <si>
    <t>Hitelek, pénzforgalom nélküli kiadások</t>
  </si>
  <si>
    <t>létszámkeret</t>
  </si>
  <si>
    <t>Település üzemeltet.</t>
  </si>
  <si>
    <t>Foglalk.szoc.pol.fel.</t>
  </si>
  <si>
    <t>Intézményi étkez.</t>
  </si>
  <si>
    <t>Önk.elsz.egyéb felad.</t>
  </si>
  <si>
    <t>előirányzat</t>
  </si>
  <si>
    <t>Önkorm összesen</t>
  </si>
  <si>
    <t>Müködési célú pénzeszköz átvétel összesen</t>
  </si>
  <si>
    <t>Felhalmozási célra átvett pénzeszk.államháztartáson kivülről</t>
  </si>
  <si>
    <t>pótlék alap</t>
  </si>
  <si>
    <t>Bizottságok nem képviselő tagjai</t>
  </si>
  <si>
    <t xml:space="preserve">              bizottságok nem képviselő tagjai </t>
  </si>
  <si>
    <t xml:space="preserve">              létszám fő</t>
  </si>
  <si>
    <t xml:space="preserve">              havi tiszteletdij Ft/fő/ hó</t>
  </si>
  <si>
    <t xml:space="preserve">              tiszteletdíj</t>
  </si>
  <si>
    <t>Külső személyi juttatás</t>
  </si>
  <si>
    <t xml:space="preserve"> Készlet beszerzések</t>
  </si>
  <si>
    <t xml:space="preserve">            Irodaszer nyomtatvány</t>
  </si>
  <si>
    <t xml:space="preserve">            Hajtó és kenőanyag</t>
  </si>
  <si>
    <t>Müködési célú hitel és kamat</t>
  </si>
  <si>
    <t>18.</t>
  </si>
  <si>
    <t>Tartalékok</t>
  </si>
  <si>
    <t>19.</t>
  </si>
  <si>
    <t>Müködési kiadások összesen</t>
  </si>
  <si>
    <t>Felhalmozási célú bevételek és kiadások</t>
  </si>
  <si>
    <t>21.</t>
  </si>
  <si>
    <t>Magánszemélyek kommunális adója</t>
  </si>
  <si>
    <t>22.</t>
  </si>
  <si>
    <t>Felhalmozási célú ktgvet támogatás</t>
  </si>
  <si>
    <t>23.</t>
  </si>
  <si>
    <t>Sorsz.</t>
  </si>
  <si>
    <t>Bevételi jogcím</t>
  </si>
  <si>
    <t>Kedvezmény nélkül elérhető bevétel</t>
  </si>
  <si>
    <t>Kedvezmény érvényesítésével elérhető bevétel</t>
  </si>
  <si>
    <t>Mentesség összege</t>
  </si>
  <si>
    <t>Magánszem. kommunális adója</t>
  </si>
  <si>
    <t>Indokolás az önkormányzat által adott közvetett támogatásokhoz:</t>
  </si>
  <si>
    <t>Tiszagyulaháza Község Önkormányzata helyi adókról szóló 12/2003. (XII. 18.) számú rendeletének 3. § (1) bekezdése alapján mentes az adó alól, az egyedülálló, 70. életévét betöltött magánszemély az életkor betöltését követő év 1. napjától.</t>
  </si>
  <si>
    <t xml:space="preserve">A 2007. évi adatok alapján a kedvezményben részesülők száma: 61 fő. </t>
  </si>
  <si>
    <t>Felhalmozási célra átvett pénzeszköz</t>
  </si>
  <si>
    <t>Felhalmozási célra átvett pénzeszk.államháztartáson belülről</t>
  </si>
  <si>
    <t>ingyenesen étkező</t>
  </si>
  <si>
    <t>Felhalmozási célú pénzeszköz átvétel összesen</t>
  </si>
  <si>
    <t>Támogatások kiegészítések átvett pénzeszk.ö.</t>
  </si>
  <si>
    <t>Pénzforgalom nélküli bevételek</t>
  </si>
  <si>
    <t>Hitelek, pénzforgalom nélküli  bev.összesen 5</t>
  </si>
  <si>
    <t xml:space="preserve"> ebből önkormányzaton belüli finanszírozás</t>
  </si>
  <si>
    <t>Önkormányzat összesen</t>
  </si>
  <si>
    <t xml:space="preserve">Bevételek összesen </t>
  </si>
  <si>
    <t xml:space="preserve">      Átengedett egyéb központi adók</t>
  </si>
  <si>
    <t>Cím</t>
  </si>
  <si>
    <t>Előirányzatok</t>
  </si>
  <si>
    <t>neve</t>
  </si>
  <si>
    <t>Müködési</t>
  </si>
  <si>
    <t>Tmogatás értékű működési bevételek</t>
  </si>
  <si>
    <t xml:space="preserve">FelhAHmozási </t>
  </si>
  <si>
    <t>TársadAHom biztosítási járulék</t>
  </si>
  <si>
    <t>Felügyelet AHá tartozó költségvetési szervnek folyósított támogatás</t>
  </si>
  <si>
    <t>FelhAHmozási célú pénzeszköz átadás államháztartáson belülre</t>
  </si>
  <si>
    <t>FelhAHmozási célú pénzeszköz átadás össz.</t>
  </si>
  <si>
    <t>TársadAHom és szociálpolitikai juttatás</t>
  </si>
  <si>
    <t>FelhAHmozási hitel visszafizetés</t>
  </si>
  <si>
    <t>Működési tartAHék</t>
  </si>
  <si>
    <t>FelhAHmozási tartAHék</t>
  </si>
  <si>
    <t>PénzforgAHom nélküli kiadások</t>
  </si>
  <si>
    <t>Összes bevétel</t>
  </si>
  <si>
    <t xml:space="preserve">Intézmények müködési  bevételei </t>
  </si>
  <si>
    <t xml:space="preserve">Önkormányz. sajátos müköd. bevét. </t>
  </si>
  <si>
    <t xml:space="preserve">Felhalmozási és tőke jellegű bevételek </t>
  </si>
  <si>
    <t xml:space="preserve">Támogatások kiegészítések átvett pénzeszközök  </t>
  </si>
  <si>
    <t xml:space="preserve">Hitelek, pénzforgalom nélküli, függö bev. </t>
  </si>
  <si>
    <t>Tel.üzemelt.fel.</t>
  </si>
  <si>
    <t>Int.étkeztetés.</t>
  </si>
  <si>
    <t xml:space="preserve"> összesen</t>
  </si>
  <si>
    <t>Önkorm. hiv.</t>
  </si>
  <si>
    <t>Önk.elsz.egyéb feladatok</t>
  </si>
  <si>
    <t>Fogl.szoc.pol feladatok.</t>
  </si>
  <si>
    <t>Belföldi kiküldetés</t>
  </si>
  <si>
    <t>Egyéb dologi kiadások</t>
  </si>
  <si>
    <t>Dologi kiadások összesen</t>
  </si>
  <si>
    <t>Egyéb folyó kiadások</t>
  </si>
  <si>
    <t>Egyéb folyó kiadások összesen</t>
  </si>
  <si>
    <t>75115-3 szakfeladat összesen</t>
  </si>
  <si>
    <t>működési hitel tőke törlesztés</t>
  </si>
  <si>
    <t xml:space="preserve">Ezen a szakfeladaton kell tervezni és elszámolni a körjegyzőségi hivatal köztisztviselőinek személyi juttatásait. A hivatal müködéséhez szükséges dologi kiadásokat és a szakmai tevékenység érdekében igénybe vett szolgáltatásokat és beszerzéseket. </t>
  </si>
  <si>
    <t>Az önkormányzatok megállapodása alapján a hivatal épületének fenntartási kiadásai, a felmerült telefon és posta költség az önkormányzati költségvetést terheli</t>
  </si>
  <si>
    <t>illetmények részletezése a 10.számú mellékleten.</t>
  </si>
  <si>
    <t>Köztisztviselők alapilletménye</t>
  </si>
  <si>
    <t xml:space="preserve">    alapilletmény</t>
  </si>
  <si>
    <t>alapilletmény összesen</t>
  </si>
  <si>
    <t>Egyéb kötelező pótlékok</t>
  </si>
  <si>
    <t xml:space="preserve">      vezetői pótlék</t>
  </si>
  <si>
    <t xml:space="preserve">       körjegyzői pótlék</t>
  </si>
  <si>
    <t>Egyéb kötelező pótlékok összesen</t>
  </si>
  <si>
    <t xml:space="preserve">    önkormányzati illetmény alap</t>
  </si>
  <si>
    <t xml:space="preserve">    munkaruha juttatás összege illetm a 200%</t>
  </si>
  <si>
    <t xml:space="preserve">    köztisztv létszám  fő</t>
  </si>
  <si>
    <t xml:space="preserve">     étkezési hozzájárulás  fő/hó</t>
  </si>
  <si>
    <t>községek között megosztandó</t>
  </si>
  <si>
    <t>fő</t>
  </si>
  <si>
    <t>megosztás</t>
  </si>
  <si>
    <t>Folyás</t>
  </si>
  <si>
    <t>kiadások megosztása</t>
  </si>
  <si>
    <t>Ezer forintban</t>
  </si>
  <si>
    <t>2008 január</t>
  </si>
  <si>
    <t>2007. Decemberi illetmény</t>
  </si>
  <si>
    <t>ingyenesen étkezők</t>
  </si>
  <si>
    <t xml:space="preserve">            támogatás Ft/fő/év</t>
  </si>
  <si>
    <t>Szállítási szolg</t>
  </si>
  <si>
    <t>80111-5 szakfeladat</t>
  </si>
  <si>
    <t xml:space="preserve">óradij számitás alapja </t>
  </si>
  <si>
    <t>kötelező óraszám</t>
  </si>
  <si>
    <t>osztó szám</t>
  </si>
  <si>
    <t>óradij</t>
  </si>
  <si>
    <t>Dologi kiadás</t>
  </si>
  <si>
    <t>Felhalmozási kiadások</t>
  </si>
  <si>
    <t>Bevételek</t>
  </si>
  <si>
    <t>Bevételek összesen</t>
  </si>
  <si>
    <t>havi összeg</t>
  </si>
  <si>
    <t>Tgyháza</t>
  </si>
  <si>
    <t>összesen</t>
  </si>
  <si>
    <t>1 havi különjuttatás</t>
  </si>
  <si>
    <t>Külső személyi juttatások</t>
  </si>
  <si>
    <t>Külső személyi juttatások összesen</t>
  </si>
  <si>
    <t>besorolás</t>
  </si>
  <si>
    <t>garantált illetmény</t>
  </si>
  <si>
    <t>szorzó</t>
  </si>
  <si>
    <t>besorolás szerinti alapilletmény</t>
  </si>
  <si>
    <t>ill növ.szakkép.</t>
  </si>
  <si>
    <t>Ezen a szakfeladaton kell tervezni és elszámolni a szociális rendeletben eseti folyósításra megállapított támogatásokat, itt kell figyelembe venni a közgyógyellátási igazolványok térítését, a mozgáskorlátozottak közlekedési támogatását, a szociális kölcsön folyósítható összegét.</t>
  </si>
  <si>
    <t>Rászorultságtól függő  pénbeli ellátások</t>
  </si>
  <si>
    <t xml:space="preserve">      Eseti szociális segélyek</t>
  </si>
  <si>
    <t xml:space="preserve">           átmeneti segély</t>
  </si>
  <si>
    <t xml:space="preserve">           temetési segély</t>
  </si>
  <si>
    <t xml:space="preserve">           tankönyv támogatás</t>
  </si>
  <si>
    <t xml:space="preserve">sorszám </t>
  </si>
  <si>
    <t>megnevezés</t>
  </si>
  <si>
    <t>Működési célú bevételek és kiadások</t>
  </si>
  <si>
    <t>Intézmények müködési bevételei</t>
  </si>
  <si>
    <t>2.</t>
  </si>
  <si>
    <t>Önkormányzatok sajátos müködési bevételei</t>
  </si>
  <si>
    <t>3.</t>
  </si>
  <si>
    <t>5.</t>
  </si>
  <si>
    <t>6.</t>
  </si>
  <si>
    <t>1 havi külön juttatás</t>
  </si>
  <si>
    <t>26 év 2 hó 12 nap</t>
  </si>
  <si>
    <t xml:space="preserve"> Rendszeres személyi juttatások.</t>
  </si>
  <si>
    <t xml:space="preserve">        januári kiadás</t>
  </si>
  <si>
    <t xml:space="preserve">        február - december</t>
  </si>
  <si>
    <t xml:space="preserve">          alapilletmények összesen</t>
  </si>
  <si>
    <t>F / 3</t>
  </si>
  <si>
    <t>801214 szakf. összesen</t>
  </si>
  <si>
    <t>Nagy Zoltánné</t>
  </si>
  <si>
    <t>Újtikos</t>
  </si>
  <si>
    <t>Szabó Sándorné</t>
  </si>
  <si>
    <t>85129- szakf összesen</t>
  </si>
  <si>
    <t>Bereczki Lászlóné</t>
  </si>
  <si>
    <t>Czaga Imréné</t>
  </si>
  <si>
    <t>Hegyiné Kókai Ilona</t>
  </si>
  <si>
    <t>Lénárt Lászlóné</t>
  </si>
  <si>
    <t>Konyha összesen</t>
  </si>
  <si>
    <t>D / 6</t>
  </si>
  <si>
    <t>F / 2</t>
  </si>
  <si>
    <t>Tóth Gyuláné</t>
  </si>
  <si>
    <t>Garantált illetmény kerekítve</t>
  </si>
  <si>
    <t>pótlékok 2004.12.31.</t>
  </si>
  <si>
    <t>Beruházások ÁFA összesen</t>
  </si>
  <si>
    <t>Részvények vásárlása</t>
  </si>
  <si>
    <t>Kárpótlási jegyek vásárlása</t>
  </si>
  <si>
    <t>Egyéb pénzügyi befektetések</t>
  </si>
  <si>
    <t>Pénzügyi befektetések kiadásai</t>
  </si>
  <si>
    <t>Felhalmozási kiadások pénzügyi befektetések kiadásai</t>
  </si>
  <si>
    <t>Müködési hitel, kölcsön visszafizetés</t>
  </si>
  <si>
    <t>Felhalmozási hitel kölcsön visszafizetés</t>
  </si>
  <si>
    <t>Hitelek kiadásai</t>
  </si>
  <si>
    <t>Működési tartalék</t>
  </si>
  <si>
    <t xml:space="preserve">              várható létszám</t>
  </si>
  <si>
    <t xml:space="preserve">              várható kihasználtsági mutató</t>
  </si>
  <si>
    <t xml:space="preserve">Ezen a szakfeladaton kell tervezni és elszámolni az önkormányzati hivatal, a képviselő-testület  működésével kapcsolatos kiadásokat és bevételeket. </t>
  </si>
  <si>
    <t>Müködésre átvett államháztartáson kívülről</t>
  </si>
  <si>
    <t xml:space="preserve">      vállakozók hozzájárulása falunaphoz</t>
  </si>
  <si>
    <t>Müködésre átvett államháztartáson belülről</t>
  </si>
  <si>
    <t>Felhalmozásra átvett államháztartáson kívülről</t>
  </si>
  <si>
    <t>Osztalék és hozam bevétel</t>
  </si>
  <si>
    <t>Felhalmozási hitel felvétel</t>
  </si>
  <si>
    <t>10. Költségvetési cím összesen</t>
  </si>
  <si>
    <t>Müködésre átvett pénzeszk.elkül.állami pénzalaptól</t>
  </si>
  <si>
    <t>11. Költségvetési cím összesen</t>
  </si>
  <si>
    <t>75184-5 Város- és község gazdálkodási feladatok</t>
  </si>
  <si>
    <t>Ezen a szakfeladaton kell tervezni és elszámolni a község üzemeltetéssel kapcsolatos más szakfeladatokhoz nem köthető kiadásokat, és bevételeket.</t>
  </si>
  <si>
    <t>Teljesítménymutató: -</t>
  </si>
  <si>
    <t>Helyiségek eszközök bérleti díja:</t>
  </si>
  <si>
    <t xml:space="preserve">              közterület használat</t>
  </si>
  <si>
    <t>Felhalmozási célra átadott pénzeszk. ÁHT-n belülre</t>
  </si>
  <si>
    <t>Családi támogatások</t>
  </si>
  <si>
    <t>Közp.ktgvet által folyósított egyéb tám.</t>
  </si>
  <si>
    <t>Rendszeres gyermekvédelmi támogatás</t>
  </si>
  <si>
    <t>Rendszeres szoc segély tartós munkanélküli</t>
  </si>
  <si>
    <t>Rendszeres szoc segély egyéb jogcímen</t>
  </si>
  <si>
    <t>Időskoruak járadéka</t>
  </si>
  <si>
    <t>Ápolási dij alanyi jogon</t>
  </si>
  <si>
    <t>Ápolási dij méltányossági</t>
  </si>
  <si>
    <t>Lakás fenntartási támogatás</t>
  </si>
  <si>
    <t>Átmeneti segélyek</t>
  </si>
  <si>
    <t>köztemetés</t>
  </si>
  <si>
    <t>Közgyógy ellátás</t>
  </si>
  <si>
    <t>Természetben nyujtott egyéb ellátás</t>
  </si>
  <si>
    <t>Önkormányzatok által folyósított ellátások</t>
  </si>
  <si>
    <t>Pénzbeli kártérit egyéb pénzbeli juttat</t>
  </si>
  <si>
    <t>Társadalom és szoc pol juttatások összesen</t>
  </si>
  <si>
    <t>Pénzeszköz átadás és egyéb támogatás</t>
  </si>
  <si>
    <t>Felujítások összesen</t>
  </si>
  <si>
    <t>Felujitások ÁFA összesen</t>
  </si>
  <si>
    <t>Beruházások összesen</t>
  </si>
  <si>
    <t xml:space="preserve">     Gázenergia szolgáltatás</t>
  </si>
  <si>
    <t xml:space="preserve">     Villamos energia szolgáltatás</t>
  </si>
  <si>
    <t xml:space="preserve">     Víz és csatorna dijak</t>
  </si>
  <si>
    <t xml:space="preserve">     Karbantartási kis javitási szolgáltatás</t>
  </si>
  <si>
    <t xml:space="preserve">     Egyéb üzemeltetési fenntartási szolg.</t>
  </si>
  <si>
    <t xml:space="preserve">     Vásárolt termékek szolg. ÁFA</t>
  </si>
  <si>
    <t xml:space="preserve">      </t>
  </si>
  <si>
    <t>eredeti</t>
  </si>
  <si>
    <t xml:space="preserve">módosított </t>
  </si>
  <si>
    <t>teljesítés</t>
  </si>
  <si>
    <t>Működésre átadott</t>
  </si>
  <si>
    <t>Alapitványok támogatása</t>
  </si>
  <si>
    <t>Területfejlesztési KHT</t>
  </si>
  <si>
    <t>Államháztartáson kivűlre átadott össz.</t>
  </si>
  <si>
    <t>21.űrlap 22 sor</t>
  </si>
  <si>
    <t>Polgár eü ellátás</t>
  </si>
  <si>
    <t>Polgár gyermekjóléti szolg</t>
  </si>
  <si>
    <t>HBM-i Könyvtár</t>
  </si>
  <si>
    <t>Polgár kistérségi társulás</t>
  </si>
  <si>
    <t>Katasztrófa védelem támogatása</t>
  </si>
  <si>
    <t>Államháztartáson belülre átadott</t>
  </si>
  <si>
    <t>21 űrlap 29. Sor</t>
  </si>
  <si>
    <t>Felhalmozásra átadott</t>
  </si>
  <si>
    <t>Államháztartáson kívülre átadott</t>
  </si>
  <si>
    <t>21.űrlap 47 sor</t>
  </si>
  <si>
    <t xml:space="preserve">Működésre átvett </t>
  </si>
  <si>
    <t>Államháztartáson kívülről átvett</t>
  </si>
  <si>
    <t>22.űrlap 21 sor</t>
  </si>
  <si>
    <t>Mozgáskorlátozottak közl.tám</t>
  </si>
  <si>
    <t>80111-5 Tgyháza</t>
  </si>
  <si>
    <t>80111-5 Ujtikos</t>
  </si>
  <si>
    <t>Részmunkaidőben foglalkozt.személyhez kapcs ktg téritései.</t>
  </si>
  <si>
    <t>illetmények részletezése a 9.számú mellékleten</t>
  </si>
  <si>
    <t>63121-1 Helyi utak üzemeltetése</t>
  </si>
  <si>
    <t>Természetben nyujtott egyéb ellátások</t>
  </si>
  <si>
    <t>Az étkeztetési szakfeladatok kiadásai az általános kiadások megosztásából származnak a tervezett illetve a tényleges igénybevétel alapján.</t>
  </si>
  <si>
    <t>megosztott rendszeres személyi juttatás</t>
  </si>
  <si>
    <t>megosztott nem rendszeres személyi juttatás</t>
  </si>
  <si>
    <t>megosztott munkaadót terhelő járulék</t>
  </si>
  <si>
    <t>megosztott dologi kiadás</t>
  </si>
  <si>
    <t>55231-2 szakfeladat összesen</t>
  </si>
  <si>
    <t>55232-3 szakfeladat összesen</t>
  </si>
  <si>
    <t>Költségvetési cím összesen</t>
  </si>
  <si>
    <t>624 Konyha általános kiadásai</t>
  </si>
  <si>
    <t>Tervezésnél a kiadás felosztás alapja  az igénybe vehető nyersanyag norma.</t>
  </si>
  <si>
    <t>Rendszeres személyi juttatások.</t>
  </si>
  <si>
    <t>Közalakalmazottak alapilletménye:</t>
  </si>
  <si>
    <t>Közalkalmazottak alapilletménye összesen</t>
  </si>
  <si>
    <t>Rendszeres személyi juttatás összesen</t>
  </si>
  <si>
    <t xml:space="preserve">    jubileumi jutalom</t>
  </si>
  <si>
    <t>Személyhez kapcsolódó ktgtérités hozzájárulás</t>
  </si>
  <si>
    <t xml:space="preserve"> Természetben nyujtott étkeztetés</t>
  </si>
  <si>
    <t>Foglalkoztatási alaptól közhasznú foglalkoztatásra</t>
  </si>
  <si>
    <t>Államháztartáson belülről átvett</t>
  </si>
  <si>
    <t>22.űrlap 28 sor</t>
  </si>
  <si>
    <t>KMB üzemanyag támogatás</t>
  </si>
  <si>
    <t>Folyás önkorányzattól körjegyzőségre</t>
  </si>
  <si>
    <t xml:space="preserve">TB védőnői szolg </t>
  </si>
  <si>
    <t xml:space="preserve">   Biztosítási dij</t>
  </si>
  <si>
    <t xml:space="preserve">   Bank ktg</t>
  </si>
  <si>
    <t xml:space="preserve">  Hortobágyment vizgazd társ.</t>
  </si>
  <si>
    <t xml:space="preserve">Kamat kiadások </t>
  </si>
  <si>
    <t>10.Költségvetési cím összesen</t>
  </si>
  <si>
    <t xml:space="preserve">           Működési tartalék kötelezően tervezendő</t>
  </si>
  <si>
    <t xml:space="preserve"> Személyi jutatások részletezés a 8.számú mellékleten</t>
  </si>
  <si>
    <t xml:space="preserve">név </t>
  </si>
  <si>
    <t>tisztség</t>
  </si>
  <si>
    <t>Költségtérítési általány</t>
  </si>
  <si>
    <t xml:space="preserve">         20%-os ÁFA</t>
  </si>
  <si>
    <t>polgármester</t>
  </si>
  <si>
    <t xml:space="preserve">          Kihasználtsági mutató:%</t>
  </si>
  <si>
    <t xml:space="preserve">          élélemezési anyag norma</t>
  </si>
  <si>
    <t>2007. évi szociális étkezést igénybevevők száma</t>
  </si>
  <si>
    <t xml:space="preserve">          január - február Ft/fő/nap</t>
  </si>
  <si>
    <t xml:space="preserve">          március december Ft/fő/nap</t>
  </si>
  <si>
    <t>Óvoda összesen</t>
  </si>
  <si>
    <t xml:space="preserve">     összesen</t>
  </si>
  <si>
    <t xml:space="preserve">        összesen</t>
  </si>
  <si>
    <t xml:space="preserve">           napi élelmezési anyagnorma:</t>
  </si>
  <si>
    <t xml:space="preserve">           január - február Ft/fő/nap</t>
  </si>
  <si>
    <t xml:space="preserve">           március december Ft/fő/nap</t>
  </si>
  <si>
    <t>Élelmiszer beszerzés összesen</t>
  </si>
  <si>
    <t>Készletbeszerzések összesen</t>
  </si>
  <si>
    <t xml:space="preserve">Karbantartási szolgáltatás </t>
  </si>
  <si>
    <t>Igénybe vett közszolgáltatások tovább képzés</t>
  </si>
  <si>
    <t xml:space="preserve"> Általános forgalmi adó</t>
  </si>
  <si>
    <t>ÁFA Alap</t>
  </si>
  <si>
    <t xml:space="preserve">       Belföldi kiküldetés</t>
  </si>
  <si>
    <t>624 Konyha általános kiadásai összesen</t>
  </si>
  <si>
    <t>Kiadások megosztása:</t>
  </si>
  <si>
    <t>Bartháné Csuhai Ilona</t>
  </si>
  <si>
    <t>Beránszki Lászlóné</t>
  </si>
  <si>
    <t>Bolgár Károly</t>
  </si>
  <si>
    <t>Kovács Józsefné</t>
  </si>
  <si>
    <t>Mizsák Fatime</t>
  </si>
  <si>
    <t xml:space="preserve">      Ujtikosnak Intézményfenntartó társulásra</t>
  </si>
  <si>
    <t xml:space="preserve">        Önhiki Támogatás</t>
  </si>
  <si>
    <t xml:space="preserve">   ösztönző hozzájárulás</t>
  </si>
  <si>
    <t>támogatásban részesülők fő</t>
  </si>
  <si>
    <t>kifizett támogatás összege</t>
  </si>
  <si>
    <t xml:space="preserve">     részletezés a 7.sz.mellékleten</t>
  </si>
  <si>
    <t>Alexa Attila</t>
  </si>
  <si>
    <t>80121-4 szakfeladat</t>
  </si>
  <si>
    <t xml:space="preserve">  </t>
  </si>
  <si>
    <t>Tervezett létszám</t>
  </si>
  <si>
    <t>Lakás fenntartási támogatás össz.</t>
  </si>
  <si>
    <t>12.Költségvetési cím összesen</t>
  </si>
  <si>
    <t>75199-9</t>
  </si>
  <si>
    <t>Ezen a szakfeladaton kell tervezni és elszámolni az Aht 8/A §-ában foglaltak alapján a költségvetési hiány finanszírozásával és a likviditás biztosításával kapcsolatos pénzügyi műveleteket.</t>
  </si>
  <si>
    <t>Egyéb átengedett központi adok</t>
  </si>
  <si>
    <t>Községek általános támogatása</t>
  </si>
  <si>
    <t>75192-2 Önkormányzatok elszámolásai</t>
  </si>
  <si>
    <t>támogatás összege</t>
  </si>
  <si>
    <t>támogatás változása</t>
  </si>
  <si>
    <t>2004 év</t>
  </si>
  <si>
    <t>2005 év</t>
  </si>
  <si>
    <t>illetmények részletezése 9. számú melléklet</t>
  </si>
  <si>
    <t>Minőség fejlesztés támogatása</t>
  </si>
  <si>
    <t>Számitástechnikai üzemeltetés</t>
  </si>
  <si>
    <t>Óvoda:tervezett létszám:  fő</t>
  </si>
  <si>
    <t>Általános iskola ebéd: tervezett létszám fő</t>
  </si>
  <si>
    <t>Munkahelyi étkezés ( két étkezés )</t>
  </si>
  <si>
    <t>Tervezett létszám fő</t>
  </si>
  <si>
    <t>Munkahelyi étkezők száma napi2 étk. Fő</t>
  </si>
  <si>
    <t xml:space="preserve">          Tervezett kihasználtsági mutató:%</t>
  </si>
  <si>
    <t>dolgozók</t>
  </si>
  <si>
    <t>lakosság</t>
  </si>
  <si>
    <t>Ezen a szakfeladaton kell tervezni és elszámolni az önkormányzati utakkal kapcsolatos üzemeltetési fenntartási kiadásokat és bevételeket</t>
  </si>
  <si>
    <t xml:space="preserve"> Dologi kiadások</t>
  </si>
  <si>
    <t xml:space="preserve"> Kistérségnek fejlesztésre átadott  2007 évi köt</t>
  </si>
  <si>
    <t>85331-1</t>
  </si>
  <si>
    <t>85333-3</t>
  </si>
  <si>
    <t>85334-4  Eseti  szociális ellátások</t>
  </si>
  <si>
    <t>Szociális étkeztetés</t>
  </si>
  <si>
    <t xml:space="preserve">      2007. Decemberben igénybe veszi</t>
  </si>
  <si>
    <t xml:space="preserve">      nyugdij minimum 150%&gt;1 főre jutó jöv</t>
  </si>
  <si>
    <t xml:space="preserve">      jövedelem a nyugdij minimum 150% és 300%</t>
  </si>
  <si>
    <t xml:space="preserve">      jövedelem &gt; nyugdij minimum 300 %</t>
  </si>
  <si>
    <t xml:space="preserve">        állandó népesség 2007 január 1 fő</t>
  </si>
  <si>
    <t>2007.évi adó befiz</t>
  </si>
  <si>
    <t>8.számú melléklet</t>
  </si>
  <si>
    <t>Egyes jövedelem pótló támogatások kiegészítése</t>
  </si>
  <si>
    <t xml:space="preserve">     Rendszeres szoc segély</t>
  </si>
  <si>
    <t>támogatási alap</t>
  </si>
  <si>
    <t xml:space="preserve"> Karbantartási kisjavitási szolgáltatások</t>
  </si>
  <si>
    <t xml:space="preserve">       utkarbantartás járda javitás</t>
  </si>
  <si>
    <t xml:space="preserve">  Vásárolt term.szolg. ÁFA</t>
  </si>
  <si>
    <t>63212-1 Szakfeladat összesen</t>
  </si>
  <si>
    <t xml:space="preserve">  Állományba nem tartozók juttatásai</t>
  </si>
  <si>
    <t xml:space="preserve">           megbizási dijak hómunkások</t>
  </si>
  <si>
    <t xml:space="preserve"> Készletek</t>
  </si>
  <si>
    <t xml:space="preserve">    Hajtó és kenőanyag beszerzés</t>
  </si>
  <si>
    <t xml:space="preserve">    Munka és védőruha beszerzés</t>
  </si>
  <si>
    <t xml:space="preserve">    Egyéb készletek</t>
  </si>
  <si>
    <t xml:space="preserve">              Szerszám beszerzés </t>
  </si>
  <si>
    <t xml:space="preserve">              Karbantartási anyag</t>
  </si>
  <si>
    <t xml:space="preserve">           szemét szállitás szerződés szerint</t>
  </si>
  <si>
    <t xml:space="preserve">     Vásárolt term.szolg. ÁFA</t>
  </si>
  <si>
    <t xml:space="preserve">     Vásárolt term.szolg. ÁFA összesen</t>
  </si>
  <si>
    <t xml:space="preserve">    Egyéb dologi kiadások</t>
  </si>
  <si>
    <t>Felhalmozásra átadott pénzeszközök ÁHT-n belül</t>
  </si>
  <si>
    <t>75184-5 Szakfeladat összesen</t>
  </si>
  <si>
    <t>Ezen a szakfeladaton kell tervezni és elszámolni a temető fenntartásával kapcsolatos kiadásokat és bevételeket.</t>
  </si>
  <si>
    <t xml:space="preserve">    Hajtó és kenő anyag</t>
  </si>
  <si>
    <t xml:space="preserve">    Egyéb készletek tisztitószer </t>
  </si>
  <si>
    <t xml:space="preserve"> Szolgáltatások</t>
  </si>
  <si>
    <t xml:space="preserve">    Villamos energia szolgáltatás</t>
  </si>
  <si>
    <t xml:space="preserve">    Víz és csatornadíjak</t>
  </si>
  <si>
    <t>Megenevezés</t>
  </si>
  <si>
    <t>Feladat állami támogatása</t>
  </si>
  <si>
    <t>Saját bevétel</t>
  </si>
  <si>
    <t>Átvett pénzeszköz</t>
  </si>
  <si>
    <t>Bevétel összesen</t>
  </si>
  <si>
    <t xml:space="preserve">Kiadások </t>
  </si>
  <si>
    <t>Munkaadót terhelő járulék</t>
  </si>
  <si>
    <t>Átadott pénzeszköz</t>
  </si>
  <si>
    <t>F / 10</t>
  </si>
  <si>
    <t>Juhász Margit</t>
  </si>
  <si>
    <t>Ezen a szakfeladaton kell elszámolni az önkormányzat által a felügyelete alá tartozó költségvetési szervek részére kiutalt illetve az intézmény által kapott intézmény finanszírozást. Itt kell továbbá kimutatni a pénzmaradvány elszámolást, valamint az önkormányzaton belüli pénzeszköz  átadást, átvételt. Minden más pénzeszköz átadást a céljának megfelelő szakfeladaton kell elszámolni.</t>
  </si>
  <si>
    <t>Tiszagyulaháza község az igazgatási feladatainak ellátására Folyás községgel körjegyzőséget hozott létre, székhely: Tiszagyulaháza</t>
  </si>
  <si>
    <t>Felügyelet alá tartozó költségvetési szervnek folyósított támogatás</t>
  </si>
  <si>
    <t xml:space="preserve">        Intézmény költségvetése alapján</t>
  </si>
  <si>
    <t>75192-2 szakfeladat összesen</t>
  </si>
  <si>
    <t xml:space="preserve">Működésre átadott ÁHT-n belül </t>
  </si>
  <si>
    <t xml:space="preserve">         HBM-i könyvtárnak állománygyarapításra</t>
  </si>
  <si>
    <t xml:space="preserve"> Közalkalmazottak alapilletménye</t>
  </si>
  <si>
    <t xml:space="preserve">  Egyéb költség térítés</t>
  </si>
  <si>
    <t xml:space="preserve">               Irodaszer, nyomtatvány</t>
  </si>
  <si>
    <t xml:space="preserve">               Hajtó és kenőanyag</t>
  </si>
  <si>
    <t xml:space="preserve">               Egyéb készlet beszerzések</t>
  </si>
  <si>
    <t xml:space="preserve">      Villamosenergia szolgáltatás</t>
  </si>
  <si>
    <t xml:space="preserve">      Víz és csatorna díjak</t>
  </si>
  <si>
    <t xml:space="preserve">      Karbantartási kisjavítási szolgáltatás</t>
  </si>
  <si>
    <t xml:space="preserve">      Egyéb üzemeltetési fenntartási kiadások</t>
  </si>
  <si>
    <t>16.Költségvetési cím összesen</t>
  </si>
  <si>
    <t>illetmények részletezése a 9. számú melléklet</t>
  </si>
  <si>
    <t xml:space="preserve">               Könyv beszerzés</t>
  </si>
  <si>
    <t xml:space="preserve">               Folyóirat beszerzés</t>
  </si>
  <si>
    <t xml:space="preserve">               Egyéb információhordozó beszerzés</t>
  </si>
  <si>
    <t>Település igazgatási, kommunális és sport feladatok</t>
  </si>
  <si>
    <t>Körjegyzőségek müködése</t>
  </si>
  <si>
    <t>Körjegyzőségek támogatása összesen</t>
  </si>
  <si>
    <t>Társadalmi és gazdasági szempontból elmaradott települések támogatása</t>
  </si>
  <si>
    <t>Ezen a szakfeladaton kell tervezni és elszámolni a szociális rendeletben eseti folyósításra megállapított támogatásokat, itt kell figyelembe venni a közgyógyellátási igazolványok térítését.Bevételként ezen a szakfeladaton számoljuk el a mozgáskorlátozottak közlekedési támogatására átvett pénzeszközt.</t>
  </si>
  <si>
    <t>Teljesítménymutató: eseti segélyezettek száma. fő</t>
  </si>
  <si>
    <t>14 Költségvetési cím összesen</t>
  </si>
  <si>
    <t>55231-2 Óvodai intézményi étkeztetés</t>
  </si>
  <si>
    <t>Ezen a szakfeladaton kell tervezni és elszámolni az óvoda által szervezett intézményi étkeztetés keretében az óvodás gyermekeknek biztosított étkezésekkel kapcsolatos bevételeket és kiadásokat.</t>
  </si>
  <si>
    <t>Feladatmutató: étkeztetést igénylők száma fő</t>
  </si>
  <si>
    <t>Teljesítménymutató: éves élelmezési napok sz. db</t>
  </si>
  <si>
    <t>Kihasználtsági mutató számitás az 1.sz mellékleten</t>
  </si>
  <si>
    <t>Intézményi ellátás díjának bevétele</t>
  </si>
  <si>
    <t xml:space="preserve">         étkezésben résztvevők száma : Fő</t>
  </si>
  <si>
    <t xml:space="preserve">         étkezési napok száma 01 - 02 hó</t>
  </si>
  <si>
    <t xml:space="preserve">         étkezési napok száma 03 - 12 hó</t>
  </si>
  <si>
    <t xml:space="preserve">         kihasználtsági mutató</t>
  </si>
  <si>
    <t xml:space="preserve">         téritési díj 01.-02. hó:  Ft/fő/nap</t>
  </si>
  <si>
    <t xml:space="preserve">         téritési díj 03.-12. hó:  Ft/fő/nap</t>
  </si>
  <si>
    <t>Kiszámlázott term.szolgáltatások ÁFA-ja</t>
  </si>
  <si>
    <t>55231-2 szakfeladat</t>
  </si>
  <si>
    <t>Kiegészitő támogatás bér kiadásokhoz</t>
  </si>
  <si>
    <t>Budainé Pázmándi Judit</t>
  </si>
  <si>
    <t xml:space="preserve">  Foglalkoztatott létszám fő</t>
  </si>
  <si>
    <t xml:space="preserve">  Étkezési hozzájárulás Ft/fő/hó</t>
  </si>
  <si>
    <t>10 ktgvet cím önk hiv</t>
  </si>
  <si>
    <t>80121-4</t>
  </si>
  <si>
    <t>75176-8</t>
  </si>
  <si>
    <t>63121-1</t>
  </si>
  <si>
    <t>75184-5</t>
  </si>
  <si>
    <t>75186-7</t>
  </si>
  <si>
    <t>75187-8</t>
  </si>
  <si>
    <t>90111-6</t>
  </si>
  <si>
    <t>75175-7</t>
  </si>
  <si>
    <t>85123-1kieg eü ell</t>
  </si>
  <si>
    <t>85129-7 védőnő</t>
  </si>
  <si>
    <t>85327-9</t>
  </si>
  <si>
    <t>55231-2</t>
  </si>
  <si>
    <t>55232-3</t>
  </si>
  <si>
    <t>55241-1</t>
  </si>
  <si>
    <t>75192-2</t>
  </si>
  <si>
    <t>75196-6</t>
  </si>
  <si>
    <t>92181-5</t>
  </si>
  <si>
    <t>Tgyháza összesen</t>
  </si>
  <si>
    <t>Intézményi ellátási díjak</t>
  </si>
  <si>
    <t>Alkalmazottak téritése</t>
  </si>
  <si>
    <t>Hatósági engedélyezési dijak</t>
  </si>
  <si>
    <t>Egyéb Alaptev bevételek</t>
  </si>
  <si>
    <t>Alaptevékenység bevételei</t>
  </si>
  <si>
    <t>Állami felad.készlet,áru ért.</t>
  </si>
  <si>
    <t>Alaptevékenység körében végzett szolg.</t>
  </si>
  <si>
    <t>Alaptev sajátos szolg.</t>
  </si>
  <si>
    <t>Alaptevékenységgel összefüggő bev</t>
  </si>
  <si>
    <t>Bérleti és lizing dij bev</t>
  </si>
  <si>
    <t>Szellemi anyagi infrastrukt térítése</t>
  </si>
  <si>
    <t>Vendéglip.üzemeltetett int étterem bérlet</t>
  </si>
  <si>
    <t>elhaszn készletek értékesítése</t>
  </si>
  <si>
    <t>Dolgozó,hallgató kártéritése egyéb térit.</t>
  </si>
  <si>
    <t>Kötbér birság ehgyéb kártérit,</t>
  </si>
  <si>
    <t>Egyéb bevételek</t>
  </si>
  <si>
    <t>Intézm egyéb sajátos bevételei</t>
  </si>
  <si>
    <t>Működési ÁFA visszatér</t>
  </si>
  <si>
    <t>Felhalm ÁFA visszatér</t>
  </si>
  <si>
    <t>Kiszámlázott term szolg ÁFA</t>
  </si>
  <si>
    <t>Értékesített tárgyi eszk ÁFA</t>
  </si>
  <si>
    <t xml:space="preserve">Normatív állami hozzájárulások </t>
  </si>
  <si>
    <t>2007 évi pályázat I.</t>
  </si>
  <si>
    <t>2007 évi pályázat II.</t>
  </si>
  <si>
    <t xml:space="preserve">        költségvetési törvény 3.sz.melléklet</t>
  </si>
  <si>
    <t>Müködési célra átvett pénzeszköz ÁHT-n belülről</t>
  </si>
  <si>
    <t>céltartalék</t>
  </si>
  <si>
    <t>2007 év összesen</t>
  </si>
  <si>
    <t>2007.év összesen</t>
  </si>
  <si>
    <t>Havi összeg</t>
  </si>
  <si>
    <t>II., Egyes szociális feladatok kiegészítő támogatása</t>
  </si>
  <si>
    <t>1., Egyes jövedelempótló támogatások kiegészítése</t>
  </si>
  <si>
    <t xml:space="preserve">       tervezett kifizetés alapján</t>
  </si>
  <si>
    <t xml:space="preserve">             tervezett kifizetés </t>
  </si>
  <si>
    <t>Rendszeres szociális segély</t>
  </si>
  <si>
    <t>csökkent munkaképességű ellátatlanok</t>
  </si>
  <si>
    <t>tartósan munkanélküliek</t>
  </si>
  <si>
    <t>Rendszeres szociális segély össz.</t>
  </si>
  <si>
    <t>Normatív ápolási dij</t>
  </si>
  <si>
    <t>Normatív ápolási dij össz.</t>
  </si>
  <si>
    <t>B / 8</t>
  </si>
  <si>
    <t>F / 11</t>
  </si>
  <si>
    <t>Juszkó Józsefné</t>
  </si>
  <si>
    <t>Farkas Jánosné</t>
  </si>
  <si>
    <t>92181-5 szakf összesen</t>
  </si>
  <si>
    <t>1., Egyes jövedelempótló támog. Kieg. Össz.</t>
  </si>
  <si>
    <t>2., Önkormányzat által szervezett közcélú foglalkoztatás</t>
  </si>
  <si>
    <t>Közcélú foglalkoztatás támogatása</t>
  </si>
  <si>
    <t>Normatív kötött felhasználású támogatások össz.</t>
  </si>
  <si>
    <t>75196-6 szakfeladat összesen</t>
  </si>
  <si>
    <t>92181-5 Müvelődési házak tevékenysége</t>
  </si>
  <si>
    <t xml:space="preserve">Ezen a szakfeladaton kell tervezni és elszámolni a müvelődési ház és könyvtár tevékenységével kapcsolatos kiadásokat és bevételeket. </t>
  </si>
  <si>
    <t>Feladatmutató:müvelődési házak száma db</t>
  </si>
  <si>
    <t xml:space="preserve">Teljesítménymutató: - </t>
  </si>
  <si>
    <t>Egyéb alaptevékenységi bevételek</t>
  </si>
  <si>
    <t>F / 5</t>
  </si>
  <si>
    <t>részletezés a ..számú mellékleten</t>
  </si>
  <si>
    <t xml:space="preserve">    januári bér kiadás</t>
  </si>
  <si>
    <t xml:space="preserve">    február - szeptember</t>
  </si>
  <si>
    <t xml:space="preserve">    1 havi külön juttatás</t>
  </si>
  <si>
    <t xml:space="preserve">         törölköző lepedő, polc, kerékpár stb</t>
  </si>
  <si>
    <t>Magán személyek komm adó</t>
  </si>
  <si>
    <t>Vállalkozók Komm adó</t>
  </si>
  <si>
    <t>Iparüzési adó</t>
  </si>
  <si>
    <t>Pótlékok birságok</t>
  </si>
  <si>
    <t>Helyi adó összesen</t>
  </si>
  <si>
    <t>SZJA normatívan elosztott</t>
  </si>
  <si>
    <t>SZJA Összesen</t>
  </si>
  <si>
    <t>Gépjárműadó</t>
  </si>
  <si>
    <t>Termőföld bérbeadás SZJA</t>
  </si>
  <si>
    <t>Átengedett egyéb Központi adók</t>
  </si>
  <si>
    <t xml:space="preserve">         Rendezvények díj bevétele</t>
  </si>
  <si>
    <t xml:space="preserve">         Terem bérleti dijak</t>
  </si>
  <si>
    <t xml:space="preserve">ÁFA alap </t>
  </si>
  <si>
    <t>ÁFA bevétel</t>
  </si>
  <si>
    <t>92181-5 szakfeladat összesen</t>
  </si>
  <si>
    <t>16. Költségvetési cím összesen</t>
  </si>
  <si>
    <t>Bérleti dijak</t>
  </si>
  <si>
    <t>Név</t>
  </si>
  <si>
    <t>Besorolás</t>
  </si>
  <si>
    <t>Szorzó</t>
  </si>
  <si>
    <t>illetmény alap</t>
  </si>
  <si>
    <t>Besorolás szerinti illetmény</t>
  </si>
  <si>
    <t>Személyi illetmény</t>
  </si>
  <si>
    <t>alap illetmény</t>
  </si>
  <si>
    <t>Illetmény kiegészítés</t>
  </si>
  <si>
    <t>Pótlékok</t>
  </si>
  <si>
    <t>lépés</t>
  </si>
  <si>
    <t>lépés utáni alapilletmény változás</t>
  </si>
  <si>
    <t>jubileumi jutalom</t>
  </si>
  <si>
    <t>jubileumi jutalom esedékes</t>
  </si>
  <si>
    <t>Fizetendő jubileumi jutalom</t>
  </si>
  <si>
    <t>vezetői pótlék</t>
  </si>
  <si>
    <t>Körjegyzői pótlék</t>
  </si>
  <si>
    <t>nyelv pótlék</t>
  </si>
  <si>
    <t>képzettségi pótlék</t>
  </si>
  <si>
    <t>Önkormányzati ill. alap</t>
  </si>
  <si>
    <t>körjegyző</t>
  </si>
  <si>
    <t>25 éves</t>
  </si>
  <si>
    <t>Mezei Jánosné</t>
  </si>
  <si>
    <t>Összesen</t>
  </si>
  <si>
    <t>75115-3 Önkormányzatok igazgatási tevékenysége</t>
  </si>
  <si>
    <t>Tgyháza közs.</t>
  </si>
  <si>
    <t>Alapilletmények</t>
  </si>
  <si>
    <t>Nyelv pótlék</t>
  </si>
  <si>
    <t>Egyéb köt.pótlék</t>
  </si>
  <si>
    <t xml:space="preserve">           Első lakáshoz jutók támogatása</t>
  </si>
  <si>
    <t xml:space="preserve">Tartalékok </t>
  </si>
  <si>
    <t xml:space="preserve">           Felhalmozási tartalék</t>
  </si>
  <si>
    <t xml:space="preserve">     Alap illetmények</t>
  </si>
  <si>
    <t xml:space="preserve">                 januári bérkiadás</t>
  </si>
  <si>
    <t xml:space="preserve">                 február - december</t>
  </si>
  <si>
    <t xml:space="preserve">               Jutalom</t>
  </si>
  <si>
    <t>Feladatmutató: -</t>
  </si>
  <si>
    <t>Teljesítménymutató:-</t>
  </si>
  <si>
    <t>Személyi juttatások</t>
  </si>
  <si>
    <t>Rendszeres személyi juttatások</t>
  </si>
  <si>
    <t xml:space="preserve">      Kistérségnek járda</t>
  </si>
  <si>
    <t xml:space="preserve">             20%-os ÁFA</t>
  </si>
  <si>
    <t xml:space="preserve">             alap illetmények</t>
  </si>
  <si>
    <t xml:space="preserve">Villamos energia </t>
  </si>
  <si>
    <t xml:space="preserve">                20 %-os ÁFA</t>
  </si>
  <si>
    <t xml:space="preserve">     Belföldi kiküldetés</t>
  </si>
  <si>
    <t xml:space="preserve"> Külső személyi juttatások</t>
  </si>
  <si>
    <t xml:space="preserve">                5 %-os ÁFA</t>
  </si>
  <si>
    <t xml:space="preserve">               20 %-os ÁFA</t>
  </si>
  <si>
    <t>Kifizetett teljes összegű támogatásból levont nyugdij járulék</t>
  </si>
  <si>
    <t>kifizetett rész összegü támogatás Ft</t>
  </si>
  <si>
    <t>Kifizetett rész összegű támogatásból levont nyugdij járulék</t>
  </si>
  <si>
    <t>nyugdij biztosítási járulék teljes összegű támogatás után</t>
  </si>
  <si>
    <t>nyugdij biztosítási járulék rész összegű támogatás után</t>
  </si>
  <si>
    <t xml:space="preserve">Összes kiadás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</si>
  <si>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</si>
  <si>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</si>
  <si>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</si>
  <si>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</si>
  <si>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</si>
  <si>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</si>
  <si>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</si>
  <si>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</si>
  <si>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</si>
  <si>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</si>
  <si>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</si>
  <si>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</si>
  <si>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2004 év összesen</t>
  </si>
  <si>
    <t xml:space="preserve">átlag létszám </t>
  </si>
  <si>
    <t>éves átlagos létszám fő/hó</t>
  </si>
  <si>
    <t xml:space="preserve">tervezett </t>
  </si>
  <si>
    <t>összes kiadás</t>
  </si>
  <si>
    <t>90211-3</t>
  </si>
  <si>
    <t>Ezen a szakfeladaton kell tervezni és elszámolni a települési szilárd hulladék összegyüjtésével elszállításával kapcsolatos kiadásokat és bevételeket</t>
  </si>
  <si>
    <t xml:space="preserve">     Szemét szállítás</t>
  </si>
  <si>
    <t>90211-3 Szakfeladat összesen</t>
  </si>
  <si>
    <t>2005 januári kifizetés</t>
  </si>
  <si>
    <t>Részmunkaidőben fogalakozt.szociális juttatásai</t>
  </si>
  <si>
    <t>Szociális jellegű juttatások</t>
  </si>
  <si>
    <t>Teljes munkaidőben foglalkozt nem rendszeres juttatásai összesen</t>
  </si>
  <si>
    <t>Részmunkaidőben foglalkozt. nem rendszeres juttatásai összesen</t>
  </si>
  <si>
    <t xml:space="preserve"> Nem rendszeres juttatások összesen</t>
  </si>
  <si>
    <t>Egészségügyi hozzájárulás</t>
  </si>
  <si>
    <t xml:space="preserve">        Foglalkoztatott létszám fő</t>
  </si>
  <si>
    <t>Munkadót terhelő járulék összesen</t>
  </si>
  <si>
    <t>Dologi kiadások:</t>
  </si>
  <si>
    <t>Készlet beszerzések</t>
  </si>
  <si>
    <t xml:space="preserve"> Irodaszer nyomtatvány beszerzés</t>
  </si>
  <si>
    <t>Szolgáltatások</t>
  </si>
  <si>
    <t>Egyéb kommunikációs szolgáltatás</t>
  </si>
  <si>
    <t>Vásárolt közszolgáltatás</t>
  </si>
  <si>
    <t>Szolgáltatások összesen</t>
  </si>
  <si>
    <t>Különféle dologi kiadások</t>
  </si>
  <si>
    <t>Általános Forgalmi Adó</t>
  </si>
  <si>
    <t>ÁFA alap</t>
  </si>
  <si>
    <t>ÁFA</t>
  </si>
  <si>
    <t xml:space="preserve">         5 %-os ÁFA</t>
  </si>
  <si>
    <t>Költségvetési cím</t>
  </si>
  <si>
    <t>száma</t>
  </si>
  <si>
    <t>megnevezése</t>
  </si>
  <si>
    <t>gazdálkodási jogköre</t>
  </si>
  <si>
    <t>10.</t>
  </si>
  <si>
    <t>Önkormányzati Hivatal</t>
  </si>
  <si>
    <t>önállóan gazdálkodó</t>
  </si>
  <si>
    <t>11.</t>
  </si>
  <si>
    <t>részben önállóan gazdálkodó</t>
  </si>
  <si>
    <t>12.</t>
  </si>
  <si>
    <t>13.</t>
  </si>
  <si>
    <t>Település üzemeltetés</t>
  </si>
  <si>
    <t>14.</t>
  </si>
  <si>
    <t>Foglalkoztatás és szociálpolitikai feladatok</t>
  </si>
  <si>
    <t>15.</t>
  </si>
  <si>
    <t>Intézményi étkeztetés</t>
  </si>
  <si>
    <t>16.</t>
  </si>
  <si>
    <t>Önkormányzat elszámolásai és egyéb feladatok</t>
  </si>
  <si>
    <t>20.</t>
  </si>
  <si>
    <t>Bevételi forrás megnevezése</t>
  </si>
  <si>
    <t xml:space="preserve">Előirányzatok </t>
  </si>
  <si>
    <t xml:space="preserve">Összesen </t>
  </si>
  <si>
    <t>Összesenből</t>
  </si>
  <si>
    <t xml:space="preserve">Müködési </t>
  </si>
  <si>
    <t xml:space="preserve">Felhalmozási </t>
  </si>
  <si>
    <t>Alaptevékenységgel összefüggő egyéb  bevétel</t>
  </si>
  <si>
    <t>Intézmények egyéb sajátos bevételei</t>
  </si>
  <si>
    <t>ÁFA bevételek visszatérülések</t>
  </si>
  <si>
    <t>Kiadási előirányzat megnevezése</t>
  </si>
  <si>
    <t>Munkaadói Járulék</t>
  </si>
  <si>
    <t>Táppénz hozzájárulás</t>
  </si>
  <si>
    <t>Oktatási intézmények üzemeltetése</t>
  </si>
  <si>
    <t>Ezen a szakfeladaton kell tervezni és elszámolni a közhasznú és közcélú foglalkoztatással kapcsolatos  kiadásokat és bevételeket. Nem számolható el a szakfeladaton a közcélú foglalkoztatás állami támogatása.</t>
  </si>
  <si>
    <t>5 fő teljes évi foglalkoztatása pályázat szerint</t>
  </si>
  <si>
    <t>55232-3 Iskolai intézményi étkeztetés</t>
  </si>
  <si>
    <t>Intézményi ellátás díjának bevétele 01-02 hó</t>
  </si>
  <si>
    <t>Intézményi ellátás díjának bevétele 03-12 hó</t>
  </si>
  <si>
    <t>téritési dij</t>
  </si>
  <si>
    <t xml:space="preserve">2004.évi teljesített nettó bevétel </t>
  </si>
  <si>
    <t>Ezen a szakfeladaton kell tervezni és elszámolni az iskola által szervezett intézményi étkeztetés keretében a tanulóknak biztosított étkezésekkel kapcsolatos bevételeket és kiadásokat.</t>
  </si>
  <si>
    <t xml:space="preserve">    Menza</t>
  </si>
  <si>
    <t xml:space="preserve">         étkezésben résztvevők száma : fő</t>
  </si>
  <si>
    <t>55232-3 szakfeladat</t>
  </si>
  <si>
    <t>55241-1 Munkahelyi vendéglátás</t>
  </si>
  <si>
    <t>Alkalmazottak ellátási dijának bevétele</t>
  </si>
  <si>
    <t xml:space="preserve">      ebédet igénybe vevők</t>
  </si>
  <si>
    <t>55241-1 szakfeladat</t>
  </si>
  <si>
    <t>15 Költségvetési cím összesen</t>
  </si>
  <si>
    <t>75196-6 Önkormányzatok feladatra nem tervezhető elszámolásai</t>
  </si>
  <si>
    <t>Ezen  szakfeladaton kell kimutatni a helyi önkormányzatokat megillető sajátos folyó- felhalmozási és tőke jellegű bevételeket valamint a költségvetési támogatást.</t>
  </si>
  <si>
    <t xml:space="preserve">Helyi adók </t>
  </si>
  <si>
    <t xml:space="preserve">      Magánszemélyek kommunális adója</t>
  </si>
  <si>
    <t xml:space="preserve">      Vállalkozók kommunális adója</t>
  </si>
  <si>
    <t xml:space="preserve">      Pótlék, birság</t>
  </si>
  <si>
    <t>Helyi adók összesen</t>
  </si>
  <si>
    <t xml:space="preserve">Átengedett Központi adók </t>
  </si>
  <si>
    <t xml:space="preserve">  mozgáskorl. közl.támog. 2004.évi szinten</t>
  </si>
  <si>
    <t>hónap</t>
  </si>
  <si>
    <t>naptári étk.nap szám</t>
  </si>
  <si>
    <t>ÓVODA</t>
  </si>
  <si>
    <t>ISKOLA EBÉD</t>
  </si>
  <si>
    <t>munkahelyi étkezők által igénybe vett adag szám  ebéd</t>
  </si>
  <si>
    <t>Létszám</t>
  </si>
  <si>
    <t>igénybevehető étk.nap</t>
  </si>
  <si>
    <t>tényleges igénybe vét.</t>
  </si>
  <si>
    <t>50 %-os kedvezmény</t>
  </si>
  <si>
    <t>100 %-os kedvezmény</t>
  </si>
  <si>
    <t>napi két étkezés</t>
  </si>
  <si>
    <t>kihasználtsági mutató %</t>
  </si>
  <si>
    <t>50% kedvezmény</t>
  </si>
  <si>
    <t>100 % kedvezmény</t>
  </si>
  <si>
    <t xml:space="preserve">    Állami támogatás összeg</t>
  </si>
  <si>
    <t xml:space="preserve">    Támogatás napi összege</t>
  </si>
  <si>
    <t xml:space="preserve">    Foglalkoztatási kötelezettség munkanap</t>
  </si>
  <si>
    <t xml:space="preserve">    Éves munkanapok száma 01.01-11.30.</t>
  </si>
  <si>
    <t>24.</t>
  </si>
  <si>
    <t>Felhalmozási célú hitel</t>
  </si>
  <si>
    <t>Felhalmozási bevételek összesen</t>
  </si>
  <si>
    <t>Felhalmozási kiadások ÁFÁ-val</t>
  </si>
  <si>
    <t>Felhalmozási célú pénzeszköz átadás</t>
  </si>
  <si>
    <t>Felújítási kiadások ÁFÁ-val</t>
  </si>
  <si>
    <t>32.</t>
  </si>
  <si>
    <t>33.</t>
  </si>
  <si>
    <t>Egyenleg</t>
  </si>
  <si>
    <t>Intézmények müködési  bevételei össz.</t>
  </si>
  <si>
    <t>Helyi adók</t>
  </si>
  <si>
    <t xml:space="preserve">      vállalkozók kommunális adója</t>
  </si>
  <si>
    <t xml:space="preserve">      Pótlékok bírságok</t>
  </si>
  <si>
    <t>Átengedett központi adók</t>
  </si>
  <si>
    <t xml:space="preserve">      Személyi jövedelem adó</t>
  </si>
  <si>
    <t xml:space="preserve">      Gépjárműadó</t>
  </si>
  <si>
    <t>területi pótlék 18%</t>
  </si>
  <si>
    <t xml:space="preserve">     Szakmai anyag</t>
  </si>
  <si>
    <t xml:space="preserve">     Kis értékű tárgyi eszk </t>
  </si>
  <si>
    <t xml:space="preserve">            létszám fő</t>
  </si>
  <si>
    <t xml:space="preserve">       LEKI támogatás iskola</t>
  </si>
  <si>
    <t xml:space="preserve">      Vis Maior támogatásból </t>
  </si>
  <si>
    <t xml:space="preserve">      LEKI támogatásból</t>
  </si>
  <si>
    <t xml:space="preserve">    Bérleti díjak 2006.évi szinten</t>
  </si>
  <si>
    <t xml:space="preserve">     Védőnői ellátás fix díj</t>
  </si>
  <si>
    <t xml:space="preserve">     Védőnői ellátás kiegészítő pótlék</t>
  </si>
  <si>
    <t xml:space="preserve">     Védőnői ellátás fejkvota szerint</t>
  </si>
  <si>
    <t>2007 évi pályázatokra</t>
  </si>
  <si>
    <t xml:space="preserve">85129-7 Védőnői szolgálat </t>
  </si>
  <si>
    <t>Ezen a szakfeladaton kell elszámolni bevételként az OEP finanszírozást.</t>
  </si>
  <si>
    <t>Ezen a szakfeladaton kell tervezni és elszámolni a közhasznú, közcélú  foglalkoztatással és közmunka programmal kapcsolatos bevételeket és kiadásokat.</t>
  </si>
  <si>
    <t xml:space="preserve">85129-7 szakfeladat összesen </t>
  </si>
  <si>
    <t>Teljesítménymutató: rendszeres segélyezettek száma fő</t>
  </si>
  <si>
    <t>Ssz.</t>
  </si>
  <si>
    <t>általános tartalék</t>
  </si>
  <si>
    <t>Összesen:</t>
  </si>
  <si>
    <t>Önkormányzat sajátos működési bevétele</t>
  </si>
  <si>
    <t>helyi adók</t>
  </si>
  <si>
    <t>átengedett központi adók</t>
  </si>
  <si>
    <t>egyéb bevételek</t>
  </si>
  <si>
    <t>Felhalmozás és tőkejellegű bevételek</t>
  </si>
  <si>
    <t xml:space="preserve"> -</t>
  </si>
  <si>
    <t xml:space="preserve"> - </t>
  </si>
  <si>
    <t>4.</t>
  </si>
  <si>
    <t>Önkormányzat költségvetési támogatása</t>
  </si>
  <si>
    <t>Átvett pénzeszközök, tám. ért. bev.</t>
  </si>
  <si>
    <t>Bevételek összesen:(1+2+3+4+5+6)</t>
  </si>
  <si>
    <t>Hitelek:</t>
  </si>
  <si>
    <t>Összes bevétel(bev. össz. +7. Sor)</t>
  </si>
  <si>
    <t>Rendszeres szem.-i jut.</t>
  </si>
  <si>
    <t>Nem rendszeres szem.-i jut.</t>
  </si>
  <si>
    <t>Külső szem.-i jut.</t>
  </si>
  <si>
    <t>Munkaadókat terh. jár.-ok</t>
  </si>
  <si>
    <t>Pe. átadás és egyéb  tám.</t>
  </si>
  <si>
    <t>Működési c. pe. Átadás</t>
  </si>
  <si>
    <t>Felhalmozási c. pe. Átadás</t>
  </si>
  <si>
    <t>Társadalom és szoc.pol.jut.</t>
  </si>
  <si>
    <t>Beruházási kiadások</t>
  </si>
  <si>
    <t>Felújítási kiadások</t>
  </si>
  <si>
    <t>Céltartalék</t>
  </si>
  <si>
    <t>Kiadások összesen:</t>
  </si>
  <si>
    <t xml:space="preserve">Önkormányzat által folyósitott ellátások </t>
  </si>
  <si>
    <t xml:space="preserve">           várható támogatotti létszám fő</t>
  </si>
  <si>
    <t xml:space="preserve">           januári kifizetés</t>
  </si>
  <si>
    <t>éves átlag létszám</t>
  </si>
  <si>
    <t xml:space="preserve">           február - december</t>
  </si>
  <si>
    <t xml:space="preserve">     részletezés a 4.sz.mellékleten</t>
  </si>
  <si>
    <t>Csökkent munkaképességű ellátatlanok</t>
  </si>
  <si>
    <t>Rendszeres szociális segély összesen</t>
  </si>
  <si>
    <t>Ápolási dij</t>
  </si>
  <si>
    <t>11.ktgvet cím oktat.int. fenntart.</t>
  </si>
  <si>
    <t>12.ktgvet cím tel.üz</t>
  </si>
  <si>
    <t>13.ktgvet cím</t>
  </si>
  <si>
    <t>85328-8</t>
  </si>
  <si>
    <t>14.ktgvet cím étkeztet.</t>
  </si>
  <si>
    <t>15.ktgvet cím önk.elsz.</t>
  </si>
  <si>
    <t xml:space="preserve">      Körjegyzőség megszünése miatt Folyás önkormányzatától</t>
  </si>
  <si>
    <t xml:space="preserve">     Alanyi jogon</t>
  </si>
  <si>
    <t xml:space="preserve">Egyéb üzemeltetési szolgáltatás </t>
  </si>
  <si>
    <t xml:space="preserve">           szemétszállítás 2006 évről áthúzódó köt</t>
  </si>
  <si>
    <t>12. Ktgvet cím tel.üz</t>
  </si>
  <si>
    <t xml:space="preserve">      Számviteli szolgáltatás ( Farkas Lajos )</t>
  </si>
  <si>
    <t>Számviteli szolgáltatás</t>
  </si>
  <si>
    <t>13. Foglalkoztatás és szociálpolitikai feladatok</t>
  </si>
  <si>
    <t xml:space="preserve">               Kisértékű tárgyi eszköz</t>
  </si>
  <si>
    <t>Beruházási kiadások ÁFA</t>
  </si>
  <si>
    <t>Beruházási kiadások összesen</t>
  </si>
  <si>
    <t>Pénzforgalom nélküli kiadások</t>
  </si>
  <si>
    <t>Kiadások összesen</t>
  </si>
  <si>
    <t>Működési hitel visszafizetés</t>
  </si>
  <si>
    <t xml:space="preserve">Müködési  </t>
  </si>
  <si>
    <t>Önkormányzati hiv.</t>
  </si>
  <si>
    <t>Összes kiadás</t>
  </si>
  <si>
    <t>80121-4 iskola épület fenntartása</t>
  </si>
  <si>
    <t>80111-5 óvoda épület fenntartása</t>
  </si>
  <si>
    <t>11.ktgvet cím oktatási intézm. Fenntart.</t>
  </si>
  <si>
    <t xml:space="preserve">80121-4 Alapfokú oktatás </t>
  </si>
  <si>
    <t>Ezen a szakfeladaton kell tervezni és elszámolni az intézmény müködtetésével kapcsolatos kiadásokat, melyek nem közvetlenül az oktatás nevelés érdekében merülnek fel.( Pl.: épület fenntartási, üzemeltetési kiadások.) Az intézményfenntartó társulási megállapodás alapján.</t>
  </si>
  <si>
    <t>2008.január 1-től</t>
  </si>
  <si>
    <t>garantált illetmény 2007.12.31.</t>
  </si>
  <si>
    <t>Közalkalma- zotti jogviszony  2007.12.31</t>
  </si>
  <si>
    <t>Munkábajárási ktg</t>
  </si>
  <si>
    <t xml:space="preserve">     Vásárolt közszolgáltatás</t>
  </si>
  <si>
    <t>80111-5 Óvodai nevelés</t>
  </si>
  <si>
    <t xml:space="preserve">     részletezés az 5.sz.mellékleten</t>
  </si>
  <si>
    <t xml:space="preserve">           támogatás a nyugdij minimum 100%-a</t>
  </si>
  <si>
    <t>Járulék alap</t>
  </si>
  <si>
    <t>járulék</t>
  </si>
  <si>
    <t xml:space="preserve">            Alanyi jogon</t>
  </si>
  <si>
    <t xml:space="preserve"> méltányossági</t>
  </si>
  <si>
    <t xml:space="preserve">     részletezés a 6.sz.mellékleten</t>
  </si>
  <si>
    <t xml:space="preserve">           támogatás a nyugdij minimum 80%-a</t>
  </si>
  <si>
    <t>Közcélú foglalkoztatás a normativ támogatásnak megfelelően</t>
  </si>
  <si>
    <t>Egyéb bérrendszer hatálya alá tartozók</t>
  </si>
  <si>
    <t xml:space="preserve">   közhasznú foglalkoztatás</t>
  </si>
  <si>
    <t xml:space="preserve">       Fogalkoztatott létszám fő</t>
  </si>
  <si>
    <t xml:space="preserve">       Bér Ft/fő/hó</t>
  </si>
  <si>
    <t>Közcélú foglalkoztatás</t>
  </si>
  <si>
    <t>Müködési célú pénzeszköz átvétel</t>
  </si>
  <si>
    <t>7.</t>
  </si>
  <si>
    <t>Müködési célú hitel felvétel</t>
  </si>
  <si>
    <t>8.</t>
  </si>
  <si>
    <t>Pénzmaradvány</t>
  </si>
  <si>
    <t>9.</t>
  </si>
  <si>
    <t>Müködési bevételek összesen</t>
  </si>
  <si>
    <t>Egyéb folyó kiadás</t>
  </si>
  <si>
    <t>Működési célú pénzeszköz átadás</t>
  </si>
  <si>
    <t>17.</t>
  </si>
  <si>
    <t>Önkormányzatok sajátos felhalmozási bevét.</t>
  </si>
  <si>
    <t>Pénzügyi befektetések bevételei</t>
  </si>
  <si>
    <t xml:space="preserve">Felhalmozási és tőke jellegű bevételek összesen </t>
  </si>
  <si>
    <t xml:space="preserve">Normatív állami támogatás </t>
  </si>
  <si>
    <t>Központosított előirányzatok</t>
  </si>
  <si>
    <t>Kötött felhasználású normatívák</t>
  </si>
  <si>
    <t>CÉDE támogatás</t>
  </si>
  <si>
    <t>Központi költségvetési támogatás összesen</t>
  </si>
  <si>
    <t>Müködési célú pénzeszköz átvétel államháztartáson kivülről</t>
  </si>
  <si>
    <t>Személyhez kapcsolódó ktg téritések jut.</t>
  </si>
  <si>
    <t xml:space="preserve">                Foglalkoztatott létszám Fő</t>
  </si>
  <si>
    <t xml:space="preserve">                Étkezési hozzájárulás mértéke Ft/fő/hó</t>
  </si>
  <si>
    <t>Egyéb költségtérítés hozzájárulás</t>
  </si>
  <si>
    <t xml:space="preserve">         Egyéb ktg térítés</t>
  </si>
  <si>
    <t>állományba nem tartozók juttatásai</t>
  </si>
  <si>
    <t>85324-4 szakfeladat összesen</t>
  </si>
  <si>
    <t>85324-4 Családsegítés</t>
  </si>
  <si>
    <t>sorszám</t>
  </si>
  <si>
    <t>Felújítási cél</t>
  </si>
  <si>
    <t xml:space="preserve">száma </t>
  </si>
  <si>
    <t xml:space="preserve"> megnevezése</t>
  </si>
  <si>
    <t>Felújítás összesen</t>
  </si>
  <si>
    <t>felhalmozási cél</t>
  </si>
  <si>
    <t>Lakáshoz jutás támogatása</t>
  </si>
  <si>
    <t>Felhalmozási kiadások összesen</t>
  </si>
  <si>
    <t>szakfeladat</t>
  </si>
  <si>
    <t>Kiadások</t>
  </si>
  <si>
    <t>I. Kiadások és bevételek feladatonként</t>
  </si>
  <si>
    <t>55231 2</t>
  </si>
  <si>
    <t>1 főre jutó támogatás</t>
  </si>
  <si>
    <t xml:space="preserve">           támogatás a nyugdij minimum 130%-a</t>
  </si>
  <si>
    <t>Fokozott ápolást igénylők</t>
  </si>
  <si>
    <t>1 főre jutó támogatási összeg Ft/fő</t>
  </si>
  <si>
    <t>átlagos támogatási összeg</t>
  </si>
  <si>
    <t xml:space="preserve">           Közgyógyellátás </t>
  </si>
  <si>
    <t xml:space="preserve">                                           ebéd</t>
  </si>
  <si>
    <t xml:space="preserve">                                          napközi</t>
  </si>
  <si>
    <t>lakosságszám 2006 január 1-én</t>
  </si>
  <si>
    <t>Tiszagyulaháza</t>
  </si>
  <si>
    <t xml:space="preserve"> megosztott kiadás</t>
  </si>
  <si>
    <t>75115-3 körj megszün miatt</t>
  </si>
  <si>
    <t xml:space="preserve">            Egyéb készlet beszerzések</t>
  </si>
  <si>
    <t xml:space="preserve"> Készlet beszerzések összesen</t>
  </si>
  <si>
    <t>Nem adatátviteli célú távközlési dijak</t>
  </si>
  <si>
    <t>Egyéb kommunikációs szolg</t>
  </si>
  <si>
    <t>Bérleti és lizing dijak</t>
  </si>
  <si>
    <t xml:space="preserve">            világitó testek bérleti dija</t>
  </si>
  <si>
    <t>Villamosenergia szolgáltatás</t>
  </si>
  <si>
    <t>Víz és csatornadíjak</t>
  </si>
  <si>
    <t>Egyéb üzemeltetési fenntartási szolg</t>
  </si>
  <si>
    <t>Általános forgalmi adó</t>
  </si>
  <si>
    <t xml:space="preserve">                   5 %-os ÁFA</t>
  </si>
  <si>
    <t>Általános forgalmi adó összesen</t>
  </si>
  <si>
    <t xml:space="preserve">Önkormányzatok elsz. </t>
  </si>
  <si>
    <t>Művelődési ház felújítása</t>
  </si>
  <si>
    <t>Kiküldetés reprezentáció reklám</t>
  </si>
  <si>
    <t xml:space="preserve">Reprezentáció </t>
  </si>
  <si>
    <t>Kiküldetés reprezentáció reklám összesen</t>
  </si>
  <si>
    <t>Egyéb dologi kiadás</t>
  </si>
  <si>
    <t xml:space="preserve">                       falunap rendezésre</t>
  </si>
  <si>
    <t>Egyéb dologi kiadás összesen</t>
  </si>
  <si>
    <t>Különféle dologi kiadások összesen</t>
  </si>
  <si>
    <t>Különféle adók dijak egyéb befizetések</t>
  </si>
  <si>
    <t>Hajdúböszörmény regionális szemétlerakó</t>
  </si>
  <si>
    <t>21.űrlap 54 sor</t>
  </si>
  <si>
    <t>Vállalkozók, magánszemélyek támogatása ( falunap)</t>
  </si>
  <si>
    <t>Közoktatás modernizációs alapítvány pályázat</t>
  </si>
  <si>
    <t>Időközi választásra átvett</t>
  </si>
  <si>
    <t>Polgártól szennyviz hálózat</t>
  </si>
  <si>
    <t>22.űrlap 47.sor</t>
  </si>
  <si>
    <t>Járulék 24%</t>
  </si>
  <si>
    <t xml:space="preserve">   Nyugdijbiztosítási járulék</t>
  </si>
  <si>
    <t>Járulék 4,5%</t>
  </si>
  <si>
    <t xml:space="preserve">  Természetbeni egészségbiztosítási járulék</t>
  </si>
  <si>
    <t xml:space="preserve">  Pénzbeli egészségbiztosítási járulék</t>
  </si>
  <si>
    <t>Járulék 0,5%</t>
  </si>
  <si>
    <t>Társadalombiztosítási  járulék összesen</t>
  </si>
  <si>
    <t xml:space="preserve">                       pályázati dijak</t>
  </si>
  <si>
    <t xml:space="preserve">           Fejlesztési hitel kamat</t>
  </si>
  <si>
    <t xml:space="preserve">           Működési hitel kamat</t>
  </si>
  <si>
    <t xml:space="preserve">           egyéb kamat</t>
  </si>
  <si>
    <t xml:space="preserve">           Fejlesztési hitel tőke törlesztés</t>
  </si>
  <si>
    <t xml:space="preserve">           iskolai tábor támogatása</t>
  </si>
  <si>
    <t xml:space="preserve">           mikulás csomag</t>
  </si>
  <si>
    <t xml:space="preserve">          mozgáskorlátozottak közl.támogatása</t>
  </si>
  <si>
    <t xml:space="preserve">          Bursa hungarica ösztöndij</t>
  </si>
  <si>
    <t>Természetben nyujtott szociális ellátások</t>
  </si>
  <si>
    <t xml:space="preserve">           Köztemetés</t>
  </si>
  <si>
    <t xml:space="preserve">           Téritési dij mérséklés</t>
  </si>
  <si>
    <t xml:space="preserve">                    kedvezményesen étkezők aránya</t>
  </si>
  <si>
    <t xml:space="preserve">                                          iskola</t>
  </si>
  <si>
    <t>alap</t>
  </si>
  <si>
    <t>kedvezmény</t>
  </si>
  <si>
    <t xml:space="preserve">                                           óvoda</t>
  </si>
  <si>
    <t>megbizási dijak</t>
  </si>
  <si>
    <t xml:space="preserve">             ingyenesen étkezők aránya</t>
  </si>
  <si>
    <t xml:space="preserve">           Szoc biz hatáskörben eseti díj mérséklés </t>
  </si>
  <si>
    <t xml:space="preserve"> kifizetés ideje</t>
  </si>
  <si>
    <t>igényelt támogatás</t>
  </si>
  <si>
    <t>2004.év összesen</t>
  </si>
  <si>
    <t>éves átlagos létszám</t>
  </si>
  <si>
    <t>Villamos energia szolgáltatás</t>
  </si>
  <si>
    <t>Távhő és melegviz szolgáltatás</t>
  </si>
  <si>
    <t>Víz és csatornadíj</t>
  </si>
  <si>
    <t>Karbantartási szolgáltatás</t>
  </si>
  <si>
    <t>Egyéb üzemeltetési fenntartási szolgáltatás</t>
  </si>
  <si>
    <t>Vásárolt termékek szolg.ÁFA</t>
  </si>
  <si>
    <t>Beszerzett könyvtári dok ÁFA</t>
  </si>
  <si>
    <t>75199-9 Finanszírozási műveletek</t>
  </si>
  <si>
    <t>Működési hitel felvétel</t>
  </si>
  <si>
    <t xml:space="preserve">        költségvetési törvény 8.sz.melléklet I.</t>
  </si>
  <si>
    <t xml:space="preserve">        költségvetési törvény 5.sz.melléklet 27</t>
  </si>
  <si>
    <t>Felhalmozási tartalék</t>
  </si>
  <si>
    <t>Tartalékok összesen</t>
  </si>
  <si>
    <t>Működési kiadások</t>
  </si>
  <si>
    <t>Szakfeladat összesen</t>
  </si>
  <si>
    <t>10 Költségvetési cím Önkormányzati Hivatal</t>
  </si>
  <si>
    <t>Állandó lakóhely</t>
  </si>
  <si>
    <t>kötelező lépés</t>
  </si>
  <si>
    <t>fizetendő jubileumi jutalom</t>
  </si>
  <si>
    <t>Balogh Jánosné</t>
  </si>
  <si>
    <t>30 éves</t>
  </si>
  <si>
    <t>Dobos Lászlóné</t>
  </si>
  <si>
    <t>F/11</t>
  </si>
  <si>
    <t>Kapus Istvánné</t>
  </si>
  <si>
    <t>Tiszaujváros</t>
  </si>
  <si>
    <t>Kapus Józsefné</t>
  </si>
  <si>
    <t>F/ 10</t>
  </si>
  <si>
    <t>Katona Ferencné</t>
  </si>
  <si>
    <t>Kékesi Istvánné</t>
  </si>
  <si>
    <t>40 éves</t>
  </si>
  <si>
    <t>Polgár</t>
  </si>
  <si>
    <t>Radics Zoltánné</t>
  </si>
  <si>
    <t>Sándorné Mézes Viktória</t>
  </si>
  <si>
    <t>Tamás Antalné</t>
  </si>
  <si>
    <t>F/ 12</t>
  </si>
  <si>
    <t>2007 évi teljesít.</t>
  </si>
  <si>
    <t>2007 évi teljesítés</t>
  </si>
  <si>
    <t>2008.évi terv</t>
  </si>
  <si>
    <t xml:space="preserve">      Kistérségi társulás tagdij</t>
  </si>
  <si>
    <t xml:space="preserve">                 Normatív támogatás</t>
  </si>
  <si>
    <t xml:space="preserve">                 Tgyházát terhelő rész</t>
  </si>
  <si>
    <t xml:space="preserve">       Körjegyzőségre összesen</t>
  </si>
  <si>
    <t xml:space="preserve">      Ujtikosnak Körjegyzőségre</t>
  </si>
  <si>
    <t xml:space="preserve"> Újtikosnak összesen</t>
  </si>
  <si>
    <t xml:space="preserve">    Polgárőrség támogatása</t>
  </si>
  <si>
    <t xml:space="preserve">    Alapítványok támogatása</t>
  </si>
  <si>
    <t>tisztelet dij/ illetmény  2008.évben</t>
  </si>
  <si>
    <t>tisztelet dij/ illetmény  2007.évben</t>
  </si>
  <si>
    <t>alap illetmény 2007.12.31-én</t>
  </si>
  <si>
    <t>alap illetmény 2008</t>
  </si>
  <si>
    <t xml:space="preserve">     Köztisztviselők alap illetménye</t>
  </si>
  <si>
    <t>Egyéb bérrendszer hat.alá.tart.alapilleteménye</t>
  </si>
  <si>
    <t xml:space="preserve">     Alap illetmények összesen</t>
  </si>
  <si>
    <t>Ruházati ktg térítés</t>
  </si>
  <si>
    <t xml:space="preserve">               illetményalap</t>
  </si>
  <si>
    <t xml:space="preserve">               Foglalkoztatott létszám Fő</t>
  </si>
  <si>
    <t>Személyhez kapcsolódó ktg téritések jut.össz</t>
  </si>
  <si>
    <t>Tiszagyulaháza 2005.08.06</t>
  </si>
  <si>
    <t xml:space="preserve">              téritési díj 01.-02. hó:  Ft/fő/nap ( rezsi 50%)</t>
  </si>
  <si>
    <t xml:space="preserve">              téritési díj 03.-12. hó:  Ft/fő/nap (rezsi 60% )</t>
  </si>
  <si>
    <t xml:space="preserve">          térítési dij norma +60% rezsi ktg</t>
  </si>
  <si>
    <t xml:space="preserve">              téritési díj 01.-02. hó:  Ft/fő/nap</t>
  </si>
  <si>
    <t xml:space="preserve">              téritési díj 03.-12. hó:  Ft/fő/nap </t>
  </si>
  <si>
    <t xml:space="preserve">      ebédet igénybe vevők összesen</t>
  </si>
  <si>
    <t>lakossági étkezés igénybevétel</t>
  </si>
  <si>
    <t xml:space="preserve">Személyi jövedelem adó </t>
  </si>
  <si>
    <t>Kovács Géza</t>
  </si>
  <si>
    <t>falugondnok</t>
  </si>
  <si>
    <t xml:space="preserve">        EHO mértéke </t>
  </si>
  <si>
    <t xml:space="preserve">                   20 %-os ÁFA</t>
  </si>
  <si>
    <t>Csige József</t>
  </si>
  <si>
    <t>Óvodai intézményi étkeztetés</t>
  </si>
  <si>
    <t>55232 2</t>
  </si>
  <si>
    <t>Iskolai intézményi étkeztetés</t>
  </si>
  <si>
    <t>55241 1</t>
  </si>
  <si>
    <t>Munkahelyi vendéglátás</t>
  </si>
  <si>
    <t>63121 1</t>
  </si>
  <si>
    <t>Helyi utak üzemeltetéselétesítése</t>
  </si>
  <si>
    <t>75115 3</t>
  </si>
  <si>
    <t>Önkormányzatok igazgatási tevékenysége</t>
  </si>
  <si>
    <t>75175 7</t>
  </si>
  <si>
    <t>Önkorm. Intézmények ellátó szolg.</t>
  </si>
  <si>
    <t>75184 5</t>
  </si>
  <si>
    <t>Város és községgazdálkodási feladatok</t>
  </si>
  <si>
    <t>75186 7</t>
  </si>
  <si>
    <t>Köztemető fenntartás</t>
  </si>
  <si>
    <t>75187 8</t>
  </si>
  <si>
    <t>Közvilágítási feladatok</t>
  </si>
  <si>
    <t>75192 2</t>
  </si>
  <si>
    <t>Önkormányzatok elszámolásai</t>
  </si>
  <si>
    <t>75196 6</t>
  </si>
  <si>
    <t>Önkormányzatok feladatra nem tervezhető elsz.</t>
  </si>
  <si>
    <t>80111 5</t>
  </si>
  <si>
    <t>Óvodai nevelés iskolai éltmódra felkészítés</t>
  </si>
  <si>
    <t>80121 4</t>
  </si>
  <si>
    <t>85123-1</t>
  </si>
  <si>
    <t>Egészségügyi ellátás egyéb feladatai</t>
  </si>
  <si>
    <t>85129-7</t>
  </si>
  <si>
    <t>Védőnői szolgálat</t>
  </si>
  <si>
    <t xml:space="preserve">Családesegítés gyermekjóléti szolgálat </t>
  </si>
  <si>
    <t>Rendszeres pénzbeli ellátások</t>
  </si>
  <si>
    <t>92181 5</t>
  </si>
  <si>
    <t>Müvelődési házak tevékenysége</t>
  </si>
  <si>
    <t>Szennyvíz elvezetés és kezelés</t>
  </si>
  <si>
    <t xml:space="preserve">II. Az I. pontból tartalék </t>
  </si>
  <si>
    <t>1.</t>
  </si>
  <si>
    <t>Finanszírozási műveletek</t>
  </si>
  <si>
    <t>90211-3 Települési hulladékok kezelése köztisztasági tevékenység</t>
  </si>
  <si>
    <t>Települési hulladékok kezelése köztisztaság</t>
  </si>
  <si>
    <t xml:space="preserve">  Étkezési hozzájárulás</t>
  </si>
  <si>
    <t xml:space="preserve">       létszám fő</t>
  </si>
  <si>
    <t xml:space="preserve">       hozzájárulás mértéke Ft/fő/hó</t>
  </si>
  <si>
    <t>Egyéb költségtérítés</t>
  </si>
  <si>
    <t xml:space="preserve">       hozzájárulás mértéke Ft/fő/év</t>
  </si>
  <si>
    <t>Nem rendszeres személyi juttatások összesen</t>
  </si>
  <si>
    <t>Személyi juttatások összesen</t>
  </si>
  <si>
    <t>Munkaadókat terhelő járulékok</t>
  </si>
  <si>
    <t>Társadalombiztosítási  járulék</t>
  </si>
  <si>
    <t>Dologi kiadások</t>
  </si>
  <si>
    <t>Készletek</t>
  </si>
  <si>
    <t>Készletek összesen</t>
  </si>
  <si>
    <t>80121-4 szakfeladat összesen</t>
  </si>
  <si>
    <t>Feladat mutató: a létesitményt igénybevevők száma: fő</t>
  </si>
  <si>
    <t>Teljesítmény mutató:-</t>
  </si>
  <si>
    <t xml:space="preserve">havi kiadás </t>
  </si>
  <si>
    <t xml:space="preserve"> Közalkalmazottak alapilletménye:</t>
  </si>
  <si>
    <t xml:space="preserve">       januári bérkiadás</t>
  </si>
  <si>
    <t>Közalkalmazottak alapilletménye össz.</t>
  </si>
  <si>
    <t>Rendszeres személyi juttatások összesen</t>
  </si>
  <si>
    <t xml:space="preserve">     Hajtó és kenőanyag beszerzés</t>
  </si>
  <si>
    <t xml:space="preserve">     Munka védő ruha </t>
  </si>
  <si>
    <t xml:space="preserve">     Egyéb készlet beszerzés </t>
  </si>
  <si>
    <t xml:space="preserve">      Szállitási szolgáltatás</t>
  </si>
  <si>
    <t xml:space="preserve">Működési célú átvétel TB alapoktól </t>
  </si>
  <si>
    <t xml:space="preserve"> Támogatott létszám  fő</t>
  </si>
  <si>
    <t xml:space="preserve"> Támogatás ideje  hó</t>
  </si>
  <si>
    <t xml:space="preserve"> Támogatás mértéke Ft/fő/hó</t>
  </si>
  <si>
    <t>A  számitás alapja a 2007 évre tervezett norma a 2006 évi  kihasználtsági mutató. Az éves étkezési napok száma: a 2006 évben igénybe vehetővel azonos a gyermek étkeztetés esetében, a dolgozók és egyéb igénybevevők esetében a 2006 évi étkezési napok a várható  létszám és kihasználtság alapján.</t>
  </si>
  <si>
    <t>NAPKÖZI ( 3 étkezés )</t>
  </si>
  <si>
    <t>Napközi:tervezett létszám fő</t>
  </si>
  <si>
    <t>2006.évi naptári étkezési napok száma</t>
  </si>
  <si>
    <t>tényleges igénybevétel</t>
  </si>
  <si>
    <t>2006.évi teljesítés</t>
  </si>
  <si>
    <t xml:space="preserve">             20% Áfa alap:</t>
  </si>
  <si>
    <t xml:space="preserve">               5 %-os ÁFA </t>
  </si>
  <si>
    <t>A / 12</t>
  </si>
  <si>
    <t>D / 8</t>
  </si>
  <si>
    <t>A /11</t>
  </si>
  <si>
    <t>B / 5</t>
  </si>
  <si>
    <t>szociális étkeztetés nyersanyag ktg</t>
  </si>
  <si>
    <t>szociális étkeztetés</t>
  </si>
  <si>
    <t>ÁFA 20%</t>
  </si>
  <si>
    <t>napközi</t>
  </si>
  <si>
    <t>tervezés a dolgozók esetében a 2006.évi tényleges igénybevétel alapján  1.sz.melléklet szerint</t>
  </si>
  <si>
    <t xml:space="preserve">               Munkahelyi vendéglátás</t>
  </si>
  <si>
    <t>Kiszámlázott term ÁFA befizetése</t>
  </si>
  <si>
    <t>Tárgyi eszközök ÁFA befizetés</t>
  </si>
  <si>
    <t>ÁFA kiadások összesen</t>
  </si>
  <si>
    <t>Reprezentáció</t>
  </si>
  <si>
    <t xml:space="preserve">Reklám propaganda </t>
  </si>
  <si>
    <t>Kiküldetés reprezentáció összesen</t>
  </si>
  <si>
    <t>Előző évi maradvány visszafiz</t>
  </si>
  <si>
    <t>Váll tev eredménye utáni befiz</t>
  </si>
  <si>
    <t>Eredeti előir meghaladó bev uráni befiz</t>
  </si>
  <si>
    <t>Egyéb befizetési kötelezettség</t>
  </si>
  <si>
    <t>Különféle költségvetési befiz</t>
  </si>
  <si>
    <t>Munkáltató által fizetett SZJA</t>
  </si>
  <si>
    <t>Nemzetközi tagsági dijak</t>
  </si>
  <si>
    <t>Adók dijak és egyéb befizetések</t>
  </si>
  <si>
    <t>Kamat kiadások ÁHT kívülre</t>
  </si>
  <si>
    <t>Kamat kiadások ÁHT belűlre</t>
  </si>
  <si>
    <t>Kamat kiadások összesen</t>
  </si>
  <si>
    <t>Egyéb folyó kiadások kiadások</t>
  </si>
  <si>
    <t>Dologi jellegű kiadások</t>
  </si>
  <si>
    <t>Felügyelet alá tart.szerv támogatása</t>
  </si>
  <si>
    <t>Müködési célra átadott pénzeszköz ÁHT-n kivülre</t>
  </si>
  <si>
    <t>Müködési célra átadott pénzeszköz ÁHT-n belülre</t>
  </si>
  <si>
    <t>Felhalmozási célra átadott pénzeszk. ÁHT-n kivülre</t>
  </si>
  <si>
    <t>Szakköny</t>
  </si>
  <si>
    <t>Tüzelő anyag beszerzés ( gáz palack)</t>
  </si>
  <si>
    <t>Kisértékű tárgyi eszk.</t>
  </si>
  <si>
    <t>Szakmai anyag</t>
  </si>
  <si>
    <t>Munkaruha</t>
  </si>
  <si>
    <t xml:space="preserve">     Tiszagyulaházáért alapítvány, Vörös kereszt,Sportklub</t>
  </si>
  <si>
    <t>2008.januári kifiz</t>
  </si>
  <si>
    <t xml:space="preserve">        2006-2007.évi kötelezettség</t>
  </si>
  <si>
    <t xml:space="preserve">        2008.évi kötelezettség</t>
  </si>
  <si>
    <t xml:space="preserve">        2006-7.évi kötelezettség</t>
  </si>
  <si>
    <t>85331-1 Rendszeres szociális pénzbeli ellátások</t>
  </si>
  <si>
    <t xml:space="preserve">Ezen a szakfeladaton kell tervezni és elszámolni a szociális  törvény és önkormányzati rendeletek alapján folyósított havi rendszeres segélyezési formákat. </t>
  </si>
  <si>
    <t>Itt kell tervezni és elszámolni az ápolási dijat,  az időskorúak járadékát a a 97 %-ban rokkantak rendszeres szociális segélyt, a lakás fenntartási támogatást és egyéb önkormányzati rendeletben szereplő rendszeres támogatásokat.</t>
  </si>
  <si>
    <t xml:space="preserve">           támogatási összeg: előző év átlag 105%</t>
  </si>
  <si>
    <t>emelt összegű támogatásban részesül fő</t>
  </si>
  <si>
    <t>kifizetett  emelt összegű támogatás Ft</t>
  </si>
  <si>
    <t>nyugdij biztosítási járulék emelt összegű támogatás után</t>
  </si>
  <si>
    <t>2008.januári kifizetés</t>
  </si>
  <si>
    <t xml:space="preserve">           nyugdij járulék 21%</t>
  </si>
  <si>
    <t>2008 januári kifizetés</t>
  </si>
  <si>
    <t xml:space="preserve">           támogatás átlagos  összege</t>
  </si>
  <si>
    <t>85331-1 szakfeladat összesen</t>
  </si>
  <si>
    <t>85333-3 Munkanélküli ellátások</t>
  </si>
  <si>
    <t>Ezen a szakfeladaton kell tervezni és elszámolni az aktív korúak munkanélküli jövedelem pótló támogatását, rendszeres szociális segélyét.</t>
  </si>
  <si>
    <t>munkanélküliek rendszeres szociális segélye</t>
  </si>
  <si>
    <t>85333-3 szak feladat összesen</t>
  </si>
  <si>
    <t>2007.évi teljesítés</t>
  </si>
  <si>
    <t>Mikó Zoltán</t>
  </si>
  <si>
    <t>képviselő</t>
  </si>
  <si>
    <t>Herbák József</t>
  </si>
  <si>
    <t>Megyesi Elemér</t>
  </si>
  <si>
    <t>Szép Jánosné</t>
  </si>
  <si>
    <t>Össesen</t>
  </si>
  <si>
    <t>Lecső Barnabásné</t>
  </si>
  <si>
    <t>Takarító</t>
  </si>
  <si>
    <t xml:space="preserve">        1 havi külön juttatás</t>
  </si>
  <si>
    <t>Megosztandó  rendszeres személyi juttatás:</t>
  </si>
  <si>
    <t>Megosztandó nem rendszeres személyi juttatás</t>
  </si>
  <si>
    <t>Megosztandó munkaadót terhelő járulék:</t>
  </si>
  <si>
    <t>Megosztandó dologi kiadás</t>
  </si>
  <si>
    <t>Megosztandó kiadás összesen</t>
  </si>
  <si>
    <t>vetítési alap a tervezett igénybevétel nyersanyag költsége</t>
  </si>
  <si>
    <t>óvodai étkeztetés nyersanyag költsége</t>
  </si>
  <si>
    <t>iskolai étkeztetés nyersanyag költsége</t>
  </si>
  <si>
    <t>munkahelyi  étkezők nyersanyag költsége</t>
  </si>
  <si>
    <t>Rendszeres személyi juttatások megosztása</t>
  </si>
  <si>
    <t>óvodai étkeztetés</t>
  </si>
  <si>
    <t>F / 7</t>
  </si>
  <si>
    <t>F / 13</t>
  </si>
  <si>
    <t>B / 9</t>
  </si>
  <si>
    <t>Ujtikos összesen</t>
  </si>
  <si>
    <t>6 év 3 hó</t>
  </si>
  <si>
    <t>29 év 4 hó</t>
  </si>
  <si>
    <t>24.év 1 hó 19 nap</t>
  </si>
  <si>
    <t>34 év 4 hó</t>
  </si>
  <si>
    <t>19 év 4 hó 19 nap</t>
  </si>
  <si>
    <t>31 év 4 hó 9 nap</t>
  </si>
  <si>
    <t>2015 01.05</t>
  </si>
  <si>
    <t>15 év 4 hó 1 nap</t>
  </si>
  <si>
    <t>28 év 4 hó 18 nap</t>
  </si>
  <si>
    <t>32 év 2 hó 27 nap</t>
  </si>
  <si>
    <t>35 év 2 hó</t>
  </si>
  <si>
    <t>21 év 6 hó</t>
  </si>
  <si>
    <t>4 év 4 hó 13 nap</t>
  </si>
  <si>
    <t>36 év 9 hó 17 nap</t>
  </si>
  <si>
    <t xml:space="preserve">22 év 11 hó </t>
  </si>
  <si>
    <t>36 év 11 hó 15 nap</t>
  </si>
  <si>
    <t>18 év 11 hó 20 nap</t>
  </si>
  <si>
    <t>30 év 2 hó 11 nap</t>
  </si>
  <si>
    <t>7 év 3 hó 23 nap</t>
  </si>
  <si>
    <t>év 5 hó 24 nap</t>
  </si>
  <si>
    <t>34 év 4 hó 7 nap</t>
  </si>
  <si>
    <t>31 év 3 hó 17 nap</t>
  </si>
  <si>
    <t>24 év 11 hó 7 nap</t>
  </si>
  <si>
    <t>27.év 9 hó 21 nap</t>
  </si>
  <si>
    <t>F/ 11</t>
  </si>
  <si>
    <t>F/ 13</t>
  </si>
  <si>
    <t>B / 12</t>
  </si>
  <si>
    <t>Pázmándi Andorné</t>
  </si>
  <si>
    <t>gyermek és ifjuság védelmi pótlék</t>
  </si>
  <si>
    <t>személyi iléletmény</t>
  </si>
  <si>
    <t>2006.01-03 HÓ</t>
  </si>
  <si>
    <t>Közalkalma- zotti jogviszony  2005.12.31</t>
  </si>
  <si>
    <t>Budainé Pázmándi Andrea</t>
  </si>
  <si>
    <t>Pázmándi Jánosné</t>
  </si>
  <si>
    <t>Pázmándiné Tóth Erika</t>
  </si>
  <si>
    <t>Tamás Józsefné</t>
  </si>
  <si>
    <t>Trungel Józsefné</t>
  </si>
  <si>
    <t>Megnevezés</t>
  </si>
  <si>
    <t>Mutatószám</t>
  </si>
  <si>
    <t>Fajlagos érték</t>
  </si>
  <si>
    <t>összes támogatás</t>
  </si>
  <si>
    <t>állami támogatás</t>
  </si>
  <si>
    <t>Normatívan elosztott SZJA</t>
  </si>
  <si>
    <t>Lakott külterülettel kapcsolatos feladatok</t>
  </si>
  <si>
    <t xml:space="preserve">   alap támogatás</t>
  </si>
  <si>
    <t>Oktatási intézm. üzemeltetése</t>
  </si>
  <si>
    <t>Oktatási intézm üzemeltetése</t>
  </si>
  <si>
    <t>Önkormányzati hivatal</t>
  </si>
  <si>
    <t>Ezen a szakfeladaton kell tervezni a dolgozók, vendégek és a lakossági igénylők számára biztosított étkezés bevételeit és kiadásait</t>
  </si>
  <si>
    <t xml:space="preserve">          térítési dij norma +60% rezsi</t>
  </si>
  <si>
    <t xml:space="preserve">      napi 2 étkezést igénybe vevők</t>
  </si>
  <si>
    <t xml:space="preserve">              igénybevehető étkezési nap 01-02 hó</t>
  </si>
  <si>
    <t xml:space="preserve">              igénybevehető étkezési nap 03-12 hó</t>
  </si>
  <si>
    <t>Kiszámlázott termékek szolgáltatások ÁFA</t>
  </si>
  <si>
    <t>ÁFA 25%</t>
  </si>
  <si>
    <t xml:space="preserve">     Bérleti dijak</t>
  </si>
  <si>
    <t>75184-5 szakfeladat összesen</t>
  </si>
  <si>
    <t>75186-7 Köztemető fenntartási feladatok</t>
  </si>
  <si>
    <t>85334-4</t>
  </si>
  <si>
    <t>85334-4 szakfeladat összesen</t>
  </si>
  <si>
    <t>munkahelyi étkezők által igénybe vevehető adag szám  ebéd</t>
  </si>
  <si>
    <t>Kihasználtsági mutató</t>
  </si>
  <si>
    <t>Munkahelyi étkezés ebéd</t>
  </si>
  <si>
    <t>Fejlesztési hitel törlesztés</t>
  </si>
  <si>
    <t xml:space="preserve">Kistérségnek járda , </t>
  </si>
  <si>
    <t>Foglalkoztatás és szocpol.feladatok</t>
  </si>
  <si>
    <t>2008.évi előirányzat</t>
  </si>
  <si>
    <t>Ált iskolai oktatás</t>
  </si>
  <si>
    <t>Munkanélküli ellátások</t>
  </si>
  <si>
    <t>Eseti szociális ellátások</t>
  </si>
  <si>
    <t>Felhalmozási célú hitel törlesztés</t>
  </si>
  <si>
    <t>Ezen a szakfeladaton kell tervezni és elszámolni a köztemető fenntartásával kapcsolatos kiadásokat, és bevételeket.</t>
  </si>
  <si>
    <t xml:space="preserve">        Sírhely értékesítés</t>
  </si>
  <si>
    <t>75186-7 szakfeladat összesen</t>
  </si>
  <si>
    <t>13. Költségvetési cím összesen</t>
  </si>
  <si>
    <t xml:space="preserve">75175-7 Önkormányzati intézmények ellátó és kisegitő szolgálatai </t>
  </si>
  <si>
    <t xml:space="preserve">                 Közhasznú, Közcélú foglalkozatatás </t>
  </si>
  <si>
    <t>Szolgálati idő 2005.12.31.</t>
  </si>
  <si>
    <t xml:space="preserve">Tgyháza </t>
  </si>
  <si>
    <t>Felhalmozási célú pénzeszköz átadás államháztartáson kivülre</t>
  </si>
  <si>
    <t>Tgyháza Összesen</t>
  </si>
  <si>
    <t>Vezetői pótlék 300%, 100%</t>
  </si>
  <si>
    <t>Osztályfői pótlék 30%</t>
  </si>
  <si>
    <t>diákönk.vezetői pótlék 12%</t>
  </si>
  <si>
    <t>tanácsosi pótlék</t>
  </si>
  <si>
    <t>munkatársi pótlék</t>
  </si>
  <si>
    <t>pótlékok</t>
  </si>
  <si>
    <t xml:space="preserve">            támogatás Ft/fő</t>
  </si>
  <si>
    <t>Egyéb ktg térítés</t>
  </si>
  <si>
    <t>Nem rendszeres személyi juttatás összesen</t>
  </si>
  <si>
    <t>Készletbeszerzések</t>
  </si>
  <si>
    <t xml:space="preserve">Élelmiszer beszerzés </t>
  </si>
  <si>
    <t xml:space="preserve">          január - február étkezési napok száma</t>
  </si>
  <si>
    <t xml:space="preserve">          március december étkezési napok száma</t>
  </si>
  <si>
    <t>Település igazgatási kommunális és sport feladatok</t>
  </si>
  <si>
    <t>Körjegyzőségek működési támogatása</t>
  </si>
  <si>
    <t xml:space="preserve">Pénzbeli és természetbeni szociális ellátások támogatása </t>
  </si>
  <si>
    <t>Szociális és gyermekjóléti alap szolgáltatás</t>
  </si>
  <si>
    <t>Óvodai nevelés</t>
  </si>
  <si>
    <t>Általános iskolai oktatás</t>
  </si>
  <si>
    <t xml:space="preserve">            1-4 osztály</t>
  </si>
  <si>
    <t xml:space="preserve">            5-8 osztály</t>
  </si>
  <si>
    <t xml:space="preserve">     Ápolási dij</t>
  </si>
  <si>
    <t xml:space="preserve">    lakás fenntartási támogatás</t>
  </si>
  <si>
    <t>Napközis foglalkoztatás</t>
  </si>
  <si>
    <t>Kulturális sabadidős tevékenység támogatása</t>
  </si>
  <si>
    <t>Tanulói tankönyv támogatás</t>
  </si>
  <si>
    <t>Felzárkóztató oktatás</t>
  </si>
  <si>
    <t>Intézményi étkeztetés támogatása</t>
  </si>
  <si>
    <t>Bejáró tanulók</t>
  </si>
  <si>
    <t>Kis települések támogatása</t>
  </si>
  <si>
    <t>Közművelődési feladatok</t>
  </si>
  <si>
    <t xml:space="preserve">Pedagógus szakvizsga </t>
  </si>
  <si>
    <t xml:space="preserve">Pedagógus szakkönyvvásárlás </t>
  </si>
  <si>
    <t>Szakmai fejlesztés támogatása</t>
  </si>
  <si>
    <t>Pedagógiai szakszolgálat</t>
  </si>
  <si>
    <t>Diáksport támogatása</t>
  </si>
  <si>
    <t>Szociális juttatások támogatása</t>
  </si>
  <si>
    <t xml:space="preserve"> Átengedett SZJA </t>
  </si>
  <si>
    <t>Központi forrásból származó bevételek összesen</t>
  </si>
  <si>
    <t>Hozzájárulás a tömeg közlekedési feladatokhoz</t>
  </si>
  <si>
    <t xml:space="preserve">       február - december</t>
  </si>
  <si>
    <t xml:space="preserve">                5%-os  ÁFA</t>
  </si>
  <si>
    <t xml:space="preserve">             20 %-os  ÁFA</t>
  </si>
  <si>
    <t>Működési kiadások összesen</t>
  </si>
  <si>
    <t xml:space="preserve">Felhalmozási kiadások </t>
  </si>
  <si>
    <t>Iskola épület felújítás</t>
  </si>
  <si>
    <t>Felújítások összesen</t>
  </si>
  <si>
    <t>Felújítás</t>
  </si>
  <si>
    <t>Felújítások összesem</t>
  </si>
  <si>
    <t>Oktatási int üzemeltetése</t>
  </si>
  <si>
    <t>Molnár Mihályné</t>
  </si>
  <si>
    <t>Pintér Józsefné</t>
  </si>
  <si>
    <t>Török Józsefné</t>
  </si>
  <si>
    <t>Zöldi Attiláné</t>
  </si>
  <si>
    <t>Újtikos összesen</t>
  </si>
  <si>
    <t>F / 9</t>
  </si>
  <si>
    <t>F / 12</t>
  </si>
  <si>
    <t>Kovácsné Ország Judit</t>
  </si>
  <si>
    <t xml:space="preserve">80111-5 szakf. Össz. </t>
  </si>
  <si>
    <t>Órakedvezmények</t>
  </si>
  <si>
    <t>munka véd.pótlék</t>
  </si>
  <si>
    <t>munkaközösség vezetői pótlék</t>
  </si>
  <si>
    <t>Sajószöged</t>
  </si>
  <si>
    <t xml:space="preserve">iskolai étkeztetés </t>
  </si>
  <si>
    <t>munkahelyi étkeztetés</t>
  </si>
  <si>
    <t>Nem rendszeres személyi juttatások megoszt.</t>
  </si>
  <si>
    <t>Munkaadót terhelő járulékok megosztása</t>
  </si>
  <si>
    <t>Dologi kiadások megosztása</t>
  </si>
  <si>
    <t>Megosztott kiadások összesen</t>
  </si>
  <si>
    <t>Átengedett  Központi adók</t>
  </si>
  <si>
    <t>Egyéb sajátos bevételek</t>
  </si>
  <si>
    <t>Önkormányzatok sajátos mük. bev össz.</t>
  </si>
  <si>
    <t>Normatív állami tám</t>
  </si>
  <si>
    <t>Központosított előir</t>
  </si>
  <si>
    <t>ÖNHIKI</t>
  </si>
  <si>
    <t>Kiegészités egyes közoktat feladatokhoz</t>
  </si>
  <si>
    <t>Egyes jöv pótló tám kieg</t>
  </si>
  <si>
    <t>Közcélú foglalkoztat kieg</t>
  </si>
  <si>
    <t>Normatív kötött felh tám.össz</t>
  </si>
  <si>
    <t>CÉDE</t>
  </si>
  <si>
    <t>TEKI</t>
  </si>
  <si>
    <t>Önkormányzatok költségvetési támogatása</t>
  </si>
  <si>
    <t>Működési pénzmaradvany</t>
  </si>
  <si>
    <t>Felhalmozási pénzmaradvány</t>
  </si>
  <si>
    <t>Előző évi pénz maradvány</t>
  </si>
  <si>
    <t>Müködési hitel felv.</t>
  </si>
  <si>
    <t>Felhalmozási hitel felv</t>
  </si>
  <si>
    <t>Hitel felvétel összesen</t>
  </si>
  <si>
    <t>10 ktgvet.cím hivatal</t>
  </si>
  <si>
    <t>85123-1 kieg alap ellát</t>
  </si>
  <si>
    <t>Ezen a szakfeladaton kell tervezni a dolgozók, vendégek, és a lakosság  számára biztosított étkezés bevételeit és kiadásait</t>
  </si>
  <si>
    <t>55241-1 szakfeladat összesen</t>
  </si>
  <si>
    <t xml:space="preserve">A napköziotthonos óvodában lévő konyha látja el az óvodások általános iskolások, a  dolgozók, és a lakossági igénylők étkeztetését egyaránt. Az étkeztetéssel kapcsolatos kiadások negyedévente kerülnek felosztásra a tényleges igénybevétel alapján. </t>
  </si>
  <si>
    <t>Hozzájárulás helyi tömeg közl feladatokhoz</t>
  </si>
  <si>
    <t>Pénzbeli és természetbeni szociális és gyermekjóléti ellátások támogatása 3700-117050 Ft/fő.</t>
  </si>
  <si>
    <t>3.sz melléklet összesen</t>
  </si>
  <si>
    <t>SZJA helyben maradó</t>
  </si>
  <si>
    <t>SZJA kiegészítés</t>
  </si>
  <si>
    <t>SZJA összesen</t>
  </si>
  <si>
    <t>Központi támogatás összesen</t>
  </si>
  <si>
    <t xml:space="preserve">       1 havi külön juttatás</t>
  </si>
  <si>
    <t xml:space="preserve">     Bérleti és lizing dij ( világitás )</t>
  </si>
  <si>
    <t>75115-3</t>
  </si>
  <si>
    <t>Áthúzódó kötelezettség</t>
  </si>
  <si>
    <t xml:space="preserve">       Fogalkoztatott létszám fő 6 órás</t>
  </si>
  <si>
    <t xml:space="preserve">      támogatási idő hó</t>
  </si>
  <si>
    <t xml:space="preserve">  alapilletmény</t>
  </si>
  <si>
    <t xml:space="preserve">        Bér Ft/fő/hó</t>
  </si>
  <si>
    <t xml:space="preserve">        támogatási idő hó</t>
  </si>
  <si>
    <t xml:space="preserve">       Fogalkoztatott létszám fő 8 órás</t>
  </si>
  <si>
    <t>Közhasznú foglalkoztatás</t>
  </si>
  <si>
    <t xml:space="preserve">    Havi bérkiadás Ft/fő/hó</t>
  </si>
  <si>
    <t>2007 évre tervezett létszám</t>
  </si>
  <si>
    <t>2006.évi foglalkoztatás átlagos létszáma fő</t>
  </si>
  <si>
    <t>2006-ról áthúzódó</t>
  </si>
  <si>
    <t xml:space="preserve">       Céde Támogatás Művház</t>
  </si>
  <si>
    <t>2007. Január 1-től</t>
  </si>
  <si>
    <t>garantált illetmény 2006.12.31.</t>
  </si>
  <si>
    <t>pótlékok 2006.12.31.</t>
  </si>
  <si>
    <t>F/12</t>
  </si>
  <si>
    <t>F/ 4</t>
  </si>
  <si>
    <t>Feladat egyenlege</t>
  </si>
  <si>
    <t>Étkeztetési feladatok</t>
  </si>
  <si>
    <t xml:space="preserve">Egészségügyi ellátás feladatai </t>
  </si>
  <si>
    <t>Könyvtár, közművelődés</t>
  </si>
  <si>
    <t xml:space="preserve">    Karbantartási és kisjavítási szolgáltatás</t>
  </si>
  <si>
    <t xml:space="preserve">                 kerítés javitás, festés</t>
  </si>
  <si>
    <t xml:space="preserve"> Szolgáltatások összesen</t>
  </si>
  <si>
    <t>75186-7 Szakfeladat összesen</t>
  </si>
  <si>
    <t>75187-8 Közvilágitási feladatok</t>
  </si>
  <si>
    <t>Ezen a szakfeladaton kell tervezni és elszámolni a közvilágitással kapcsolatos kiadásokat és bevételeket</t>
  </si>
  <si>
    <t xml:space="preserve">   Villamos energia szolgáltatás</t>
  </si>
  <si>
    <t xml:space="preserve">    Egyéb üzemeltetési szolg</t>
  </si>
  <si>
    <t xml:space="preserve">      Vásárolt term.szolg. ÁFA</t>
  </si>
  <si>
    <t>75187-8 Szakfeladat összesen</t>
  </si>
  <si>
    <t>90111-6 Szennyvíz elvezetés és kezelés</t>
  </si>
  <si>
    <t>Ezen a szakfeladaton kell  tervezni és elszámolni a településen keletkezett szennyvizek elvezetésével, tisztitásával összefüggésben felmerült bevételeket és kiadásokat</t>
  </si>
  <si>
    <t xml:space="preserve">  Egyéb üzemeltetési szolgáltatások</t>
  </si>
  <si>
    <t xml:space="preserve">     Polgár város gondnokságnak szennyviztiszt.</t>
  </si>
  <si>
    <t>90111-6 Szakfeladat összesen</t>
  </si>
  <si>
    <t>13.Költségvetési cím összesen</t>
  </si>
  <si>
    <t>Közhasznú foglalkoztatásra átvett pénzeszköz</t>
  </si>
  <si>
    <t xml:space="preserve">75175-7 szakfeladat összesen </t>
  </si>
  <si>
    <t>Müködésre átvett központi költségvetési szervtől</t>
  </si>
  <si>
    <t>85328-0 szakfeladat összesen</t>
  </si>
  <si>
    <t>85328-0 Eseti pénzbeni ellátások</t>
  </si>
  <si>
    <t xml:space="preserve">              adótárgyak száma db</t>
  </si>
  <si>
    <t xml:space="preserve">              adó mértéke  Ft/db</t>
  </si>
  <si>
    <t>ÁFA bevétel visszatérités</t>
  </si>
  <si>
    <t>Áru értékesítés</t>
  </si>
  <si>
    <t>Szolgáltatás</t>
  </si>
  <si>
    <t>Válalkozási bevételek</t>
  </si>
  <si>
    <t>Befektetett pü eszközök kamata</t>
  </si>
  <si>
    <t>Egyéb államháztart. kiv szárm.kamat</t>
  </si>
  <si>
    <t>Kamat bevét államháztart.belülről</t>
  </si>
  <si>
    <t>Kamat bevételek</t>
  </si>
  <si>
    <t>Intézményi működési bevételek</t>
  </si>
  <si>
    <t>Felhalmozási bevételek</t>
  </si>
  <si>
    <t>Ingatlanok értékesítése</t>
  </si>
  <si>
    <t>Földterület értékesítés</t>
  </si>
  <si>
    <t>Tárgyi eszközök értékesítése</t>
  </si>
  <si>
    <t>Önkormányzatok sajátos felhalm. Bev.</t>
  </si>
  <si>
    <t>Osztalék</t>
  </si>
  <si>
    <t>egyéb pü befektetések bevételei</t>
  </si>
  <si>
    <t>Pü befektetétese bevételei</t>
  </si>
  <si>
    <t>Felhalmozási és tőke jellegű bev.</t>
  </si>
  <si>
    <t>Felhalmozásra átvett pénzeszk ÁHT-kivülről</t>
  </si>
  <si>
    <t>vállalkozók hozzájárulása falunaphoz</t>
  </si>
  <si>
    <t>Működési célra átvett pénzeszk ÁHT-kivülről</t>
  </si>
  <si>
    <t>Müködésre átvett központi ktgvet.szervtől</t>
  </si>
  <si>
    <t>Müködésre átvett önkormányzati ktgvet.szervtől</t>
  </si>
  <si>
    <t>Müködésre átvett TB alapoktól</t>
  </si>
  <si>
    <t>Müködésre átvett elkülönített állami pénzalapoktól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</si>
</sst>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yyyy/\ m/\ d\."/>
    <numFmt numFmtId="168" formatCode="yyyy/\ mmm\."/>
    <numFmt numFmtId="169" formatCode="0.0"/>
    <numFmt numFmtId="170" formatCode="yyyy/mmm/d"/>
    <numFmt numFmtId="171" formatCode="yyyy/\ mmmm"/>
    <numFmt numFmtId="172" formatCode="0.0000%"/>
    <numFmt numFmtId="173" formatCode="_-* #,##0.0000\ _F_t_-;\-* #,##0.0000\ _F_t_-;_-* &quot;-&quot;????\ _F_t_-;_-@_-"/>
    <numFmt numFmtId="174" formatCode="yyyy/\ mmm/"/>
    <numFmt numFmtId="175" formatCode="0.000%"/>
    <numFmt numFmtId="176" formatCode="0.00000%"/>
    <numFmt numFmtId="177" formatCode="_-* #,##0.000\ _F_t_-;\-* #,##0.000\ _F_t_-;_-* &quot;-&quot;???\ _F_t_-;_-@_-"/>
    <numFmt numFmtId="178" formatCode="0.000"/>
    <numFmt numFmtId="179" formatCode="0.0000"/>
    <numFmt numFmtId="180" formatCode="_-* #,##0.0000\ _F_t_-;\-* #,##0.0000\ _F_t_-;_-* &quot;-&quot;??\ _F_t_-;_-@_-"/>
  </numFmts>
  <fonts count="27">
    <font>
      <sz val="10"/>
      <name val="Arial CE"/>
      <family val="0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 CE"/>
      <family val="0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 CE"/>
      <family val="0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0"/>
    </font>
    <font>
      <b/>
      <sz val="8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3" fontId="2" fillId="0" borderId="1" xfId="15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/>
    </xf>
    <xf numFmtId="14" fontId="2" fillId="0" borderId="1" xfId="0" applyNumberFormat="1" applyFont="1" applyBorder="1" applyAlignment="1">
      <alignment horizontal="center"/>
    </xf>
    <xf numFmtId="164" fontId="1" fillId="0" borderId="0" xfId="15" applyNumberFormat="1" applyFont="1" applyAlignment="1">
      <alignment/>
    </xf>
    <xf numFmtId="0" fontId="4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2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164" fontId="8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2" xfId="15" applyNumberFormat="1" applyFont="1" applyBorder="1" applyAlignment="1">
      <alignment/>
    </xf>
    <xf numFmtId="0" fontId="8" fillId="0" borderId="1" xfId="0" applyFont="1" applyBorder="1" applyAlignment="1">
      <alignment/>
    </xf>
    <xf numFmtId="164" fontId="8" fillId="0" borderId="2" xfId="15" applyNumberFormat="1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/>
    </xf>
    <xf numFmtId="43" fontId="3" fillId="0" borderId="1" xfId="15" applyFont="1" applyBorder="1" applyAlignment="1">
      <alignment horizontal="center" vertical="center" textRotation="90"/>
    </xf>
    <xf numFmtId="164" fontId="3" fillId="0" borderId="1" xfId="15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2" xfId="15" applyNumberFormat="1" applyFont="1" applyBorder="1" applyAlignment="1">
      <alignment/>
    </xf>
    <xf numFmtId="43" fontId="3" fillId="0" borderId="1" xfId="15" applyFont="1" applyBorder="1" applyAlignment="1">
      <alignment/>
    </xf>
    <xf numFmtId="164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43" fontId="3" fillId="0" borderId="3" xfId="15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15" applyNumberFormat="1" applyFont="1" applyBorder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43" fontId="6" fillId="0" borderId="1" xfId="15" applyFont="1" applyBorder="1" applyAlignment="1">
      <alignment/>
    </xf>
    <xf numFmtId="164" fontId="6" fillId="0" borderId="1" xfId="15" applyNumberFormat="1" applyFont="1" applyBorder="1" applyAlignment="1">
      <alignment/>
    </xf>
    <xf numFmtId="164" fontId="6" fillId="0" borderId="2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64" fontId="9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43" fontId="1" fillId="0" borderId="1" xfId="15" applyFont="1" applyBorder="1" applyAlignment="1">
      <alignment/>
    </xf>
    <xf numFmtId="164" fontId="1" fillId="0" borderId="3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164" fontId="9" fillId="0" borderId="1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164" fontId="8" fillId="0" borderId="3" xfId="15" applyNumberFormat="1" applyFont="1" applyBorder="1" applyAlignment="1">
      <alignment/>
    </xf>
    <xf numFmtId="167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15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3" fillId="0" borderId="2" xfId="15" applyNumberFormat="1" applyFont="1" applyBorder="1" applyAlignment="1">
      <alignment/>
    </xf>
    <xf numFmtId="10" fontId="3" fillId="0" borderId="1" xfId="15" applyNumberFormat="1" applyFont="1" applyBorder="1" applyAlignment="1">
      <alignment/>
    </xf>
    <xf numFmtId="0" fontId="3" fillId="0" borderId="5" xfId="0" applyFont="1" applyBorder="1" applyAlignment="1">
      <alignment/>
    </xf>
    <xf numFmtId="9" fontId="3" fillId="0" borderId="1" xfId="19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15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1" fillId="0" borderId="1" xfId="15" applyNumberFormat="1" applyFont="1" applyBorder="1" applyAlignment="1">
      <alignment/>
    </xf>
    <xf numFmtId="2" fontId="1" fillId="0" borderId="2" xfId="19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4" fontId="1" fillId="0" borderId="1" xfId="15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2" borderId="8" xfId="0" applyFont="1" applyFill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2" borderId="8" xfId="15" applyNumberFormat="1" applyFont="1" applyFill="1" applyBorder="1" applyAlignment="1">
      <alignment/>
    </xf>
    <xf numFmtId="164" fontId="3" fillId="3" borderId="8" xfId="15" applyNumberFormat="1" applyFont="1" applyFill="1" applyBorder="1" applyAlignment="1">
      <alignment horizontal="center" wrapText="1"/>
    </xf>
    <xf numFmtId="164" fontId="3" fillId="3" borderId="8" xfId="15" applyNumberFormat="1" applyFont="1" applyFill="1" applyBorder="1" applyAlignment="1">
      <alignment/>
    </xf>
    <xf numFmtId="0" fontId="3" fillId="4" borderId="8" xfId="0" applyFont="1" applyFill="1" applyBorder="1" applyAlignment="1">
      <alignment/>
    </xf>
    <xf numFmtId="164" fontId="3" fillId="4" borderId="8" xfId="15" applyNumberFormat="1" applyFont="1" applyFill="1" applyBorder="1" applyAlignment="1">
      <alignment/>
    </xf>
    <xf numFmtId="0" fontId="3" fillId="5" borderId="8" xfId="0" applyFont="1" applyFill="1" applyBorder="1" applyAlignment="1">
      <alignment/>
    </xf>
    <xf numFmtId="164" fontId="3" fillId="5" borderId="8" xfId="15" applyNumberFormat="1" applyFont="1" applyFill="1" applyBorder="1" applyAlignment="1">
      <alignment/>
    </xf>
    <xf numFmtId="0" fontId="3" fillId="6" borderId="8" xfId="0" applyFont="1" applyFill="1" applyBorder="1" applyAlignment="1">
      <alignment/>
    </xf>
    <xf numFmtId="164" fontId="3" fillId="6" borderId="8" xfId="15" applyNumberFormat="1" applyFont="1" applyFill="1" applyBorder="1" applyAlignment="1">
      <alignment/>
    </xf>
    <xf numFmtId="0" fontId="3" fillId="7" borderId="8" xfId="0" applyFont="1" applyFill="1" applyBorder="1" applyAlignment="1">
      <alignment/>
    </xf>
    <xf numFmtId="164" fontId="3" fillId="7" borderId="8" xfId="15" applyNumberFormat="1" applyFont="1" applyFill="1" applyBorder="1" applyAlignment="1">
      <alignment/>
    </xf>
    <xf numFmtId="164" fontId="3" fillId="3" borderId="8" xfId="15" applyNumberFormat="1" applyFont="1" applyFill="1" applyBorder="1" applyAlignment="1">
      <alignment wrapText="1"/>
    </xf>
    <xf numFmtId="164" fontId="3" fillId="8" borderId="8" xfId="15" applyNumberFormat="1" applyFont="1" applyFill="1" applyBorder="1" applyAlignment="1">
      <alignment horizontal="center" wrapText="1"/>
    </xf>
    <xf numFmtId="164" fontId="3" fillId="8" borderId="8" xfId="15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9" borderId="8" xfId="0" applyFont="1" applyFill="1" applyBorder="1" applyAlignment="1">
      <alignment/>
    </xf>
    <xf numFmtId="164" fontId="3" fillId="9" borderId="8" xfId="15" applyNumberFormat="1" applyFont="1" applyFill="1" applyBorder="1" applyAlignment="1">
      <alignment/>
    </xf>
    <xf numFmtId="0" fontId="5" fillId="0" borderId="8" xfId="0" applyFont="1" applyBorder="1" applyAlignment="1">
      <alignment/>
    </xf>
    <xf numFmtId="164" fontId="5" fillId="0" borderId="8" xfId="15" applyNumberFormat="1" applyFont="1" applyBorder="1" applyAlignment="1">
      <alignment/>
    </xf>
    <xf numFmtId="0" fontId="3" fillId="10" borderId="8" xfId="0" applyFont="1" applyFill="1" applyBorder="1" applyAlignment="1">
      <alignment/>
    </xf>
    <xf numFmtId="164" fontId="3" fillId="10" borderId="8" xfId="15" applyNumberFormat="1" applyFont="1" applyFill="1" applyBorder="1" applyAlignment="1">
      <alignment/>
    </xf>
    <xf numFmtId="164" fontId="5" fillId="0" borderId="0" xfId="15" applyNumberFormat="1" applyFont="1" applyAlignment="1">
      <alignment/>
    </xf>
    <xf numFmtId="0" fontId="2" fillId="11" borderId="8" xfId="0" applyFont="1" applyFill="1" applyBorder="1" applyAlignment="1">
      <alignment/>
    </xf>
    <xf numFmtId="164" fontId="2" fillId="11" borderId="8" xfId="15" applyNumberFormat="1" applyFont="1" applyFill="1" applyBorder="1" applyAlignment="1">
      <alignment/>
    </xf>
    <xf numFmtId="0" fontId="10" fillId="0" borderId="0" xfId="0" applyFont="1" applyAlignment="1">
      <alignment/>
    </xf>
    <xf numFmtId="164" fontId="3" fillId="0" borderId="1" xfId="15" applyNumberFormat="1" applyFont="1" applyBorder="1" applyAlignment="1">
      <alignment horizontal="center" vertical="center"/>
    </xf>
    <xf numFmtId="164" fontId="10" fillId="0" borderId="1" xfId="15" applyNumberFormat="1" applyFont="1" applyBorder="1" applyAlignment="1">
      <alignment/>
    </xf>
    <xf numFmtId="0" fontId="10" fillId="0" borderId="1" xfId="0" applyFont="1" applyBorder="1" applyAlignment="1">
      <alignment/>
    </xf>
    <xf numFmtId="164" fontId="10" fillId="0" borderId="2" xfId="15" applyNumberFormat="1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164" fontId="3" fillId="0" borderId="1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15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10" fontId="1" fillId="0" borderId="0" xfId="0" applyNumberFormat="1" applyFont="1" applyAlignment="1">
      <alignment/>
    </xf>
    <xf numFmtId="10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4" xfId="0" applyNumberFormat="1" applyFont="1" applyBorder="1" applyAlignment="1">
      <alignment/>
    </xf>
    <xf numFmtId="164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3" fillId="0" borderId="8" xfId="15" applyNumberFormat="1" applyFont="1" applyBorder="1" applyAlignment="1">
      <alignment horizontal="center" vertical="center" wrapText="1"/>
    </xf>
    <xf numFmtId="164" fontId="7" fillId="0" borderId="1" xfId="15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43" fontId="7" fillId="0" borderId="0" xfId="15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4" fontId="8" fillId="0" borderId="0" xfId="15" applyNumberFormat="1" applyFont="1" applyBorder="1" applyAlignment="1">
      <alignment/>
    </xf>
    <xf numFmtId="43" fontId="8" fillId="0" borderId="0" xfId="15" applyFont="1" applyBorder="1" applyAlignment="1">
      <alignment/>
    </xf>
    <xf numFmtId="167" fontId="8" fillId="0" borderId="0" xfId="0" applyNumberFormat="1" applyFont="1" applyBorder="1" applyAlignment="1">
      <alignment horizontal="center"/>
    </xf>
    <xf numFmtId="164" fontId="7" fillId="0" borderId="1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5" fillId="0" borderId="1" xfId="15" applyNumberFormat="1" applyFont="1" applyBorder="1" applyAlignment="1">
      <alignment/>
    </xf>
    <xf numFmtId="164" fontId="7" fillId="0" borderId="1" xfId="15" applyNumberFormat="1" applyFont="1" applyBorder="1" applyAlignment="1">
      <alignment horizontal="center" vertical="center"/>
    </xf>
    <xf numFmtId="164" fontId="5" fillId="0" borderId="1" xfId="15" applyNumberFormat="1" applyFont="1" applyBorder="1" applyAlignment="1">
      <alignment horizontal="center" vertical="center"/>
    </xf>
    <xf numFmtId="164" fontId="7" fillId="0" borderId="1" xfId="15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15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1" fillId="0" borderId="1" xfId="15" applyNumberFormat="1" applyFont="1" applyBorder="1" applyAlignment="1">
      <alignment/>
    </xf>
    <xf numFmtId="164" fontId="11" fillId="0" borderId="1" xfId="15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64" fontId="14" fillId="0" borderId="1" xfId="15" applyNumberFormat="1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1" fillId="0" borderId="1" xfId="0" applyFont="1" applyBorder="1" applyAlignment="1">
      <alignment/>
    </xf>
    <xf numFmtId="164" fontId="5" fillId="0" borderId="1" xfId="0" applyNumberFormat="1" applyFont="1" applyBorder="1" applyAlignment="1">
      <alignment vertical="center" wrapText="1"/>
    </xf>
    <xf numFmtId="164" fontId="11" fillId="0" borderId="1" xfId="15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3" fontId="7" fillId="0" borderId="2" xfId="15" applyFont="1" applyBorder="1" applyAlignment="1">
      <alignment/>
    </xf>
    <xf numFmtId="43" fontId="5" fillId="0" borderId="2" xfId="15" applyFont="1" applyBorder="1" applyAlignment="1">
      <alignment/>
    </xf>
    <xf numFmtId="43" fontId="8" fillId="0" borderId="4" xfId="15" applyFont="1" applyBorder="1" applyAlignment="1">
      <alignment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wrapText="1"/>
    </xf>
    <xf numFmtId="164" fontId="7" fillId="0" borderId="1" xfId="15" applyNumberFormat="1" applyFont="1" applyBorder="1" applyAlignment="1">
      <alignment vertical="center" wrapText="1"/>
    </xf>
    <xf numFmtId="164" fontId="8" fillId="0" borderId="3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7" fillId="0" borderId="1" xfId="0" applyNumberFormat="1" applyFont="1" applyBorder="1" applyAlignment="1">
      <alignment vertical="center" wrapText="1"/>
    </xf>
    <xf numFmtId="164" fontId="7" fillId="0" borderId="2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0" fontId="3" fillId="0" borderId="2" xfId="15" applyNumberFormat="1" applyFont="1" applyBorder="1" applyAlignment="1">
      <alignment/>
    </xf>
    <xf numFmtId="10" fontId="6" fillId="0" borderId="2" xfId="15" applyNumberFormat="1" applyFont="1" applyBorder="1" applyAlignment="1">
      <alignment/>
    </xf>
    <xf numFmtId="10" fontId="6" fillId="0" borderId="1" xfId="15" applyNumberFormat="1" applyFont="1" applyBorder="1" applyAlignment="1">
      <alignment/>
    </xf>
    <xf numFmtId="10" fontId="2" fillId="0" borderId="1" xfId="15" applyNumberFormat="1" applyFont="1" applyBorder="1" applyAlignment="1">
      <alignment/>
    </xf>
    <xf numFmtId="10" fontId="2" fillId="0" borderId="2" xfId="15" applyNumberFormat="1" applyFont="1" applyBorder="1" applyAlignment="1">
      <alignment/>
    </xf>
    <xf numFmtId="10" fontId="3" fillId="0" borderId="4" xfId="15" applyNumberFormat="1" applyFont="1" applyBorder="1" applyAlignment="1">
      <alignment/>
    </xf>
    <xf numFmtId="10" fontId="3" fillId="0" borderId="3" xfId="15" applyNumberFormat="1" applyFont="1" applyBorder="1" applyAlignment="1">
      <alignment/>
    </xf>
    <xf numFmtId="10" fontId="3" fillId="0" borderId="0" xfId="15" applyNumberFormat="1" applyFont="1" applyAlignment="1">
      <alignment/>
    </xf>
    <xf numFmtId="10" fontId="3" fillId="0" borderId="1" xfId="0" applyNumberFormat="1" applyFont="1" applyBorder="1" applyAlignment="1">
      <alignment/>
    </xf>
    <xf numFmtId="180" fontId="7" fillId="0" borderId="1" xfId="15" applyNumberFormat="1" applyFont="1" applyBorder="1" applyAlignment="1">
      <alignment/>
    </xf>
    <xf numFmtId="180" fontId="5" fillId="0" borderId="1" xfId="15" applyNumberFormat="1" applyFont="1" applyBorder="1" applyAlignment="1">
      <alignment/>
    </xf>
    <xf numFmtId="180" fontId="8" fillId="0" borderId="1" xfId="15" applyNumberFormat="1" applyFont="1" applyBorder="1" applyAlignment="1">
      <alignment/>
    </xf>
    <xf numFmtId="180" fontId="8" fillId="0" borderId="3" xfId="15" applyNumberFormat="1" applyFont="1" applyBorder="1" applyAlignment="1">
      <alignment/>
    </xf>
    <xf numFmtId="180" fontId="7" fillId="0" borderId="0" xfId="15" applyNumberFormat="1" applyFont="1" applyAlignment="1">
      <alignment/>
    </xf>
    <xf numFmtId="164" fontId="10" fillId="0" borderId="0" xfId="15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/>
    </xf>
    <xf numFmtId="164" fontId="17" fillId="4" borderId="0" xfId="15" applyNumberFormat="1" applyFont="1" applyFill="1" applyAlignment="1">
      <alignment/>
    </xf>
    <xf numFmtId="0" fontId="3" fillId="3" borderId="0" xfId="0" applyFont="1" applyFill="1" applyAlignment="1">
      <alignment/>
    </xf>
    <xf numFmtId="0" fontId="6" fillId="4" borderId="0" xfId="0" applyFont="1" applyFill="1" applyAlignment="1">
      <alignment/>
    </xf>
    <xf numFmtId="164" fontId="2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2" fontId="3" fillId="0" borderId="0" xfId="15" applyNumberFormat="1" applyFont="1" applyAlignment="1">
      <alignment/>
    </xf>
    <xf numFmtId="180" fontId="7" fillId="0" borderId="1" xfId="0" applyNumberFormat="1" applyFont="1" applyBorder="1" applyAlignment="1">
      <alignment/>
    </xf>
    <xf numFmtId="44" fontId="3" fillId="0" borderId="0" xfId="17" applyFont="1" applyAlignment="1">
      <alignment/>
    </xf>
    <xf numFmtId="43" fontId="3" fillId="0" borderId="0" xfId="15" applyNumberFormat="1" applyFont="1" applyAlignment="1">
      <alignment/>
    </xf>
    <xf numFmtId="180" fontId="5" fillId="0" borderId="1" xfId="0" applyNumberFormat="1" applyFont="1" applyBorder="1" applyAlignment="1">
      <alignment/>
    </xf>
    <xf numFmtId="180" fontId="11" fillId="0" borderId="1" xfId="0" applyNumberFormat="1" applyFont="1" applyBorder="1" applyAlignment="1">
      <alignment/>
    </xf>
    <xf numFmtId="180" fontId="7" fillId="0" borderId="0" xfId="15" applyNumberFormat="1" applyFont="1" applyBorder="1" applyAlignment="1">
      <alignment/>
    </xf>
    <xf numFmtId="164" fontId="15" fillId="0" borderId="1" xfId="15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15" applyNumberFormat="1" applyFont="1" applyBorder="1" applyAlignment="1">
      <alignment/>
    </xf>
    <xf numFmtId="164" fontId="10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164" fontId="18" fillId="0" borderId="8" xfId="15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15" applyNumberFormat="1" applyFont="1" applyBorder="1" applyAlignment="1">
      <alignment/>
    </xf>
    <xf numFmtId="180" fontId="7" fillId="0" borderId="3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167" fontId="7" fillId="0" borderId="3" xfId="0" applyNumberFormat="1" applyFont="1" applyBorder="1" applyAlignment="1">
      <alignment horizontal="center"/>
    </xf>
    <xf numFmtId="164" fontId="18" fillId="3" borderId="8" xfId="15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20" fillId="0" borderId="0" xfId="15" applyNumberFormat="1" applyFont="1" applyAlignment="1">
      <alignment horizontal="center"/>
    </xf>
    <xf numFmtId="164" fontId="18" fillId="0" borderId="0" xfId="15" applyNumberFormat="1" applyFont="1" applyAlignment="1">
      <alignment/>
    </xf>
    <xf numFmtId="0" fontId="3" fillId="0" borderId="9" xfId="0" applyFont="1" applyBorder="1" applyAlignment="1">
      <alignment wrapText="1"/>
    </xf>
    <xf numFmtId="164" fontId="3" fillId="0" borderId="13" xfId="15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21" fillId="0" borderId="0" xfId="15" applyNumberFormat="1" applyFont="1" applyAlignment="1">
      <alignment/>
    </xf>
    <xf numFmtId="164" fontId="18" fillId="0" borderId="1" xfId="15" applyNumberFormat="1" applyFont="1" applyBorder="1" applyAlignment="1">
      <alignment/>
    </xf>
    <xf numFmtId="164" fontId="3" fillId="3" borderId="8" xfId="15" applyNumberFormat="1" applyFont="1" applyFill="1" applyBorder="1" applyAlignment="1">
      <alignment horizontal="center" vertical="center" wrapText="1"/>
    </xf>
    <xf numFmtId="164" fontId="18" fillId="0" borderId="8" xfId="15" applyNumberFormat="1" applyFont="1" applyBorder="1" applyAlignment="1">
      <alignment/>
    </xf>
    <xf numFmtId="164" fontId="18" fillId="0" borderId="8" xfId="15" applyNumberFormat="1" applyFont="1" applyBorder="1" applyAlignment="1">
      <alignment horizontal="center" wrapText="1"/>
    </xf>
    <xf numFmtId="164" fontId="3" fillId="0" borderId="1" xfId="15" applyNumberFormat="1" applyFont="1" applyFill="1" applyBorder="1" applyAlignment="1">
      <alignment/>
    </xf>
    <xf numFmtId="0" fontId="22" fillId="0" borderId="8" xfId="0" applyFont="1" applyBorder="1" applyAlignment="1">
      <alignment/>
    </xf>
    <xf numFmtId="0" fontId="23" fillId="0" borderId="8" xfId="0" applyFont="1" applyBorder="1" applyAlignment="1">
      <alignment/>
    </xf>
    <xf numFmtId="0" fontId="24" fillId="0" borderId="8" xfId="0" applyFont="1" applyBorder="1" applyAlignment="1">
      <alignment/>
    </xf>
    <xf numFmtId="0" fontId="25" fillId="0" borderId="8" xfId="0" applyFont="1" applyBorder="1" applyAlignment="1">
      <alignment/>
    </xf>
    <xf numFmtId="1" fontId="25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22" fillId="0" borderId="8" xfId="0" applyNumberFormat="1" applyFont="1" applyBorder="1" applyAlignment="1">
      <alignment/>
    </xf>
    <xf numFmtId="1" fontId="22" fillId="0" borderId="8" xfId="0" applyNumberFormat="1" applyFont="1" applyBorder="1" applyAlignment="1">
      <alignment/>
    </xf>
    <xf numFmtId="0" fontId="22" fillId="0" borderId="8" xfId="0" applyFont="1" applyBorder="1" applyAlignment="1">
      <alignment/>
    </xf>
    <xf numFmtId="0" fontId="25" fillId="0" borderId="8" xfId="0" applyFont="1" applyBorder="1" applyAlignment="1">
      <alignment/>
    </xf>
    <xf numFmtId="0" fontId="0" fillId="0" borderId="8" xfId="0" applyFont="1" applyBorder="1" applyAlignment="1">
      <alignment/>
    </xf>
    <xf numFmtId="10" fontId="3" fillId="0" borderId="14" xfId="15" applyNumberFormat="1" applyFont="1" applyBorder="1" applyAlignment="1">
      <alignment horizontal="center" vertical="center" textRotation="90" wrapText="1"/>
    </xf>
    <xf numFmtId="10" fontId="3" fillId="0" borderId="1" xfId="15" applyNumberFormat="1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0" fontId="3" fillId="0" borderId="2" xfId="15" applyNumberFormat="1" applyFont="1" applyBorder="1" applyAlignment="1">
      <alignment horizontal="center" vertical="center" textRotation="90" wrapText="1"/>
    </xf>
    <xf numFmtId="10" fontId="3" fillId="0" borderId="16" xfId="15" applyNumberFormat="1" applyFont="1" applyBorder="1" applyAlignment="1">
      <alignment horizontal="center" vertical="center" textRotation="90" wrapText="1"/>
    </xf>
    <xf numFmtId="10" fontId="3" fillId="0" borderId="12" xfId="15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10" xfId="15" applyNumberFormat="1" applyFont="1" applyBorder="1" applyAlignment="1">
      <alignment horizontal="center" vertical="center" textRotation="90" wrapText="1"/>
    </xf>
    <xf numFmtId="164" fontId="3" fillId="0" borderId="1" xfId="15" applyNumberFormat="1" applyFont="1" applyBorder="1" applyAlignment="1">
      <alignment horizontal="center" vertical="center" textRotation="90" wrapText="1"/>
    </xf>
    <xf numFmtId="164" fontId="3" fillId="0" borderId="14" xfId="15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" xfId="15" applyNumberFormat="1" applyFont="1" applyBorder="1" applyAlignment="1">
      <alignment horizontal="center" vertical="center" textRotation="90"/>
    </xf>
    <xf numFmtId="164" fontId="3" fillId="0" borderId="14" xfId="15" applyNumberFormat="1" applyFont="1" applyBorder="1" applyAlignment="1">
      <alignment horizontal="center" vertical="center" textRotation="90"/>
    </xf>
    <xf numFmtId="164" fontId="3" fillId="0" borderId="12" xfId="15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 textRotation="90" wrapText="1"/>
    </xf>
    <xf numFmtId="164" fontId="3" fillId="0" borderId="16" xfId="15" applyNumberFormat="1" applyFont="1" applyBorder="1" applyAlignment="1">
      <alignment horizontal="center" vertical="center" textRotation="90" wrapText="1"/>
    </xf>
    <xf numFmtId="164" fontId="3" fillId="0" borderId="5" xfId="15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10" fontId="3" fillId="0" borderId="17" xfId="15" applyNumberFormat="1" applyFont="1" applyBorder="1" applyAlignment="1">
      <alignment horizontal="center" vertical="center" wrapText="1"/>
    </xf>
    <xf numFmtId="10" fontId="3" fillId="0" borderId="15" xfId="15" applyNumberFormat="1" applyFont="1" applyBorder="1" applyAlignment="1">
      <alignment horizontal="center" vertical="center" wrapText="1"/>
    </xf>
    <xf numFmtId="10" fontId="3" fillId="0" borderId="11" xfId="15" applyNumberFormat="1" applyFont="1" applyBorder="1" applyAlignment="1">
      <alignment horizontal="center" vertical="center" wrapText="1"/>
    </xf>
    <xf numFmtId="10" fontId="3" fillId="0" borderId="18" xfId="15" applyNumberFormat="1" applyFont="1" applyBorder="1" applyAlignment="1">
      <alignment horizontal="center" vertical="center" wrapText="1"/>
    </xf>
    <xf numFmtId="10" fontId="3" fillId="0" borderId="4" xfId="15" applyNumberFormat="1" applyFont="1" applyBorder="1" applyAlignment="1">
      <alignment horizontal="center" vertical="center" wrapText="1"/>
    </xf>
    <xf numFmtId="164" fontId="16" fillId="0" borderId="1" xfId="15" applyNumberFormat="1" applyFont="1" applyBorder="1" applyAlignment="1">
      <alignment horizontal="center" vertical="center" textRotation="90" wrapText="1"/>
    </xf>
    <xf numFmtId="164" fontId="16" fillId="0" borderId="14" xfId="15" applyNumberFormat="1" applyFont="1" applyBorder="1" applyAlignment="1">
      <alignment horizontal="center" vertical="center" textRotation="90" wrapText="1"/>
    </xf>
    <xf numFmtId="10" fontId="3" fillId="0" borderId="10" xfId="15" applyNumberFormat="1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164" fontId="3" fillId="0" borderId="15" xfId="15" applyNumberFormat="1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/>
    </xf>
    <xf numFmtId="164" fontId="3" fillId="0" borderId="16" xfId="15" applyNumberFormat="1" applyFont="1" applyBorder="1" applyAlignment="1">
      <alignment horizontal="center" vertical="center"/>
    </xf>
    <xf numFmtId="164" fontId="3" fillId="0" borderId="10" xfId="15" applyNumberFormat="1" applyFont="1" applyBorder="1" applyAlignment="1">
      <alignment horizontal="center" vertical="center"/>
    </xf>
    <xf numFmtId="164" fontId="3" fillId="0" borderId="1" xfId="15" applyNumberFormat="1" applyFont="1" applyBorder="1" applyAlignment="1">
      <alignment horizontal="center" vertical="center"/>
    </xf>
    <xf numFmtId="164" fontId="3" fillId="0" borderId="14" xfId="15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0" xfId="15" applyNumberFormat="1" applyFont="1" applyBorder="1" applyAlignment="1">
      <alignment horizontal="center" vertical="center" wrapText="1"/>
    </xf>
    <xf numFmtId="164" fontId="3" fillId="0" borderId="1" xfId="15" applyNumberFormat="1" applyFont="1" applyBorder="1" applyAlignment="1">
      <alignment horizontal="center" vertical="center" wrapText="1"/>
    </xf>
    <xf numFmtId="164" fontId="3" fillId="0" borderId="14" xfId="15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3" fontId="3" fillId="0" borderId="10" xfId="15" applyFont="1" applyBorder="1" applyAlignment="1">
      <alignment horizontal="center" vertical="center" textRotation="90" wrapText="1"/>
    </xf>
    <xf numFmtId="43" fontId="3" fillId="0" borderId="14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0" fontId="7" fillId="0" borderId="10" xfId="15" applyNumberFormat="1" applyFont="1" applyBorder="1" applyAlignment="1">
      <alignment horizontal="center" vertical="center" textRotation="90"/>
    </xf>
    <xf numFmtId="180" fontId="7" fillId="0" borderId="1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64" fontId="7" fillId="0" borderId="1" xfId="15" applyNumberFormat="1" applyFont="1" applyBorder="1" applyAlignment="1">
      <alignment horizontal="center" vertical="center" textRotation="90" wrapText="1"/>
    </xf>
    <xf numFmtId="164" fontId="7" fillId="0" borderId="1" xfId="15" applyNumberFormat="1" applyFont="1" applyBorder="1" applyAlignment="1">
      <alignment/>
    </xf>
    <xf numFmtId="164" fontId="7" fillId="0" borderId="14" xfId="15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164" fontId="7" fillId="0" borderId="19" xfId="15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7" fillId="0" borderId="10" xfId="15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43" fontId="7" fillId="0" borderId="15" xfId="15" applyFont="1" applyBorder="1" applyAlignment="1">
      <alignment horizontal="center" vertical="center" textRotation="90"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7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7" fillId="0" borderId="11" xfId="15" applyNumberFormat="1" applyFont="1" applyBorder="1" applyAlignment="1">
      <alignment horizontal="center"/>
    </xf>
    <xf numFmtId="164" fontId="7" fillId="0" borderId="4" xfId="15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164" fontId="7" fillId="0" borderId="15" xfId="15" applyNumberFormat="1" applyFont="1" applyBorder="1" applyAlignment="1">
      <alignment horizontal="center" vertical="center" textRotation="90" wrapText="1"/>
    </xf>
    <xf numFmtId="164" fontId="0" fillId="0" borderId="2" xfId="15" applyNumberFormat="1" applyBorder="1" applyAlignment="1">
      <alignment/>
    </xf>
    <xf numFmtId="164" fontId="0" fillId="0" borderId="16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14" xfId="15" applyNumberFormat="1" applyBorder="1" applyAlignment="1">
      <alignment/>
    </xf>
    <xf numFmtId="167" fontId="7" fillId="0" borderId="10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" xfId="15" applyNumberFormat="1" applyBorder="1" applyAlignment="1">
      <alignment horizontal="center" vertical="center"/>
    </xf>
    <xf numFmtId="164" fontId="0" fillId="0" borderId="14" xfId="15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7" fillId="0" borderId="14" xfId="15" applyNumberFormat="1" applyFont="1" applyBorder="1" applyAlignment="1">
      <alignment horizontal="center" vertical="center" textRotation="90" wrapText="1"/>
    </xf>
    <xf numFmtId="164" fontId="7" fillId="0" borderId="19" xfId="15" applyNumberFormat="1" applyFont="1" applyBorder="1" applyAlignment="1">
      <alignment horizontal="center" wrapText="1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180" fontId="19" fillId="0" borderId="1" xfId="0" applyNumberFormat="1" applyFont="1" applyBorder="1" applyAlignment="1">
      <alignment/>
    </xf>
    <xf numFmtId="180" fontId="19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/>
    </xf>
    <xf numFmtId="164" fontId="3" fillId="0" borderId="10" xfId="15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 wrapText="1"/>
    </xf>
    <xf numFmtId="164" fontId="3" fillId="0" borderId="15" xfId="15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164" fontId="1" fillId="0" borderId="0" xfId="15" applyNumberFormat="1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3" fillId="0" borderId="17" xfId="15" applyNumberFormat="1" applyFont="1" applyBorder="1" applyAlignment="1">
      <alignment horizontal="center" vertical="center"/>
    </xf>
    <xf numFmtId="164" fontId="3" fillId="0" borderId="11" xfId="15" applyNumberFormat="1" applyFont="1" applyBorder="1" applyAlignment="1">
      <alignment horizontal="center" vertical="center"/>
    </xf>
    <xf numFmtId="164" fontId="3" fillId="0" borderId="18" xfId="15" applyNumberFormat="1" applyFont="1" applyBorder="1" applyAlignment="1">
      <alignment horizontal="center" vertical="center"/>
    </xf>
    <xf numFmtId="164" fontId="3" fillId="0" borderId="4" xfId="15" applyNumberFormat="1" applyFont="1" applyBorder="1" applyAlignment="1">
      <alignment horizontal="center" vertical="center"/>
    </xf>
    <xf numFmtId="164" fontId="3" fillId="0" borderId="5" xfId="15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164" fontId="0" fillId="0" borderId="17" xfId="15" applyNumberFormat="1" applyBorder="1" applyAlignment="1">
      <alignment horizontal="center" vertical="center"/>
    </xf>
    <xf numFmtId="164" fontId="0" fillId="0" borderId="15" xfId="15" applyNumberForma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0" fillId="0" borderId="18" xfId="15" applyNumberFormat="1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horizontal="center" vertical="center"/>
    </xf>
    <xf numFmtId="164" fontId="3" fillId="0" borderId="23" xfId="15" applyNumberFormat="1" applyFont="1" applyBorder="1" applyAlignment="1">
      <alignment horizontal="center"/>
    </xf>
    <xf numFmtId="164" fontId="3" fillId="0" borderId="24" xfId="15" applyNumberFormat="1" applyFont="1" applyBorder="1" applyAlignment="1">
      <alignment horizontal="center"/>
    </xf>
    <xf numFmtId="164" fontId="3" fillId="0" borderId="25" xfId="15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24" fillId="0" borderId="8" xfId="0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164" fontId="3" fillId="0" borderId="0" xfId="15" applyNumberFormat="1" applyFont="1" applyAlignment="1">
      <alignment horizontal="center" vertical="center"/>
    </xf>
    <xf numFmtId="164" fontId="2" fillId="0" borderId="0" xfId="15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3" fillId="0" borderId="0" xfId="15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0" xfId="15" applyNumberFormat="1" applyFont="1" applyBorder="1" applyAlignment="1">
      <alignment horizontal="center" vertical="center" wrapText="1"/>
    </xf>
    <xf numFmtId="164" fontId="1" fillId="0" borderId="1" xfId="15" applyNumberFormat="1" applyFont="1" applyBorder="1" applyAlignment="1">
      <alignment horizontal="center" vertical="center" wrapText="1"/>
    </xf>
    <xf numFmtId="164" fontId="1" fillId="0" borderId="14" xfId="15" applyNumberFormat="1" applyFont="1" applyBorder="1" applyAlignment="1">
      <alignment horizontal="center" vertical="center" wrapText="1"/>
    </xf>
    <xf numFmtId="164" fontId="1" fillId="0" borderId="15" xfId="15" applyNumberFormat="1" applyFont="1" applyBorder="1" applyAlignment="1">
      <alignment horizontal="center" vertical="center" wrapText="1"/>
    </xf>
    <xf numFmtId="164" fontId="1" fillId="0" borderId="2" xfId="15" applyNumberFormat="1" applyFont="1" applyBorder="1" applyAlignment="1">
      <alignment horizontal="center" vertical="center" wrapText="1"/>
    </xf>
    <xf numFmtId="164" fontId="1" fillId="0" borderId="16" xfId="15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9"/>
  <sheetViews>
    <sheetView workbookViewId="0" topLeftCell="A280">
      <selection activeCell="D316" sqref="D316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145" t="s">
        <v>1175</v>
      </c>
    </row>
    <row r="3" ht="12">
      <c r="A3" s="61" t="s">
        <v>783</v>
      </c>
    </row>
    <row r="5" spans="1:4" ht="24.75" customHeight="1">
      <c r="A5" s="317" t="s">
        <v>403</v>
      </c>
      <c r="B5" s="318"/>
      <c r="C5" s="318"/>
      <c r="D5" s="318"/>
    </row>
    <row r="7" ht="12">
      <c r="A7" s="37" t="s">
        <v>795</v>
      </c>
    </row>
    <row r="8" ht="12">
      <c r="A8" s="37" t="s">
        <v>796</v>
      </c>
    </row>
    <row r="10" spans="1:2" ht="12">
      <c r="A10" s="37" t="s">
        <v>404</v>
      </c>
      <c r="B10" s="63" t="s">
        <v>1302</v>
      </c>
    </row>
    <row r="11" spans="1:3" ht="12">
      <c r="A11" s="37" t="s">
        <v>405</v>
      </c>
      <c r="B11" s="13">
        <v>50000</v>
      </c>
      <c r="C11" s="55">
        <v>10000</v>
      </c>
    </row>
    <row r="12" spans="1:4" ht="12">
      <c r="A12" s="37" t="s">
        <v>404</v>
      </c>
      <c r="B12" s="15"/>
      <c r="C12" s="55">
        <f>SUM(C11)</f>
        <v>10000</v>
      </c>
      <c r="D12" s="55">
        <f>ROUND(C12/1000,0)</f>
        <v>10</v>
      </c>
    </row>
    <row r="13" ht="12">
      <c r="B13" s="16"/>
    </row>
    <row r="14" spans="1:2" ht="12">
      <c r="A14" s="37" t="s">
        <v>406</v>
      </c>
      <c r="B14" s="16"/>
    </row>
    <row r="15" spans="1:2" ht="12">
      <c r="A15" s="37" t="s">
        <v>1007</v>
      </c>
      <c r="B15" s="16"/>
    </row>
    <row r="16" spans="2:4" ht="12">
      <c r="B16" s="16"/>
      <c r="C16" s="55">
        <f>körj!C92</f>
        <v>1591984.2207023145</v>
      </c>
      <c r="D16" s="55">
        <f>ROUND(C16/1000,0)</f>
        <v>1592</v>
      </c>
    </row>
    <row r="17" spans="1:4" ht="12">
      <c r="A17" s="37" t="s">
        <v>406</v>
      </c>
      <c r="B17" s="16"/>
      <c r="C17" s="55">
        <f>SUM(C16)</f>
        <v>1591984.2207023145</v>
      </c>
      <c r="D17" s="55">
        <f>SUM(D16)</f>
        <v>1592</v>
      </c>
    </row>
    <row r="18" ht="12">
      <c r="B18" s="16"/>
    </row>
    <row r="19" spans="1:4" ht="12">
      <c r="A19" s="37" t="s">
        <v>1585</v>
      </c>
      <c r="B19" s="16"/>
      <c r="D19" s="55">
        <f>ROUND(C19/1000,0)</f>
        <v>0</v>
      </c>
    </row>
    <row r="20" spans="1:4" ht="12">
      <c r="A20" s="37" t="s">
        <v>951</v>
      </c>
      <c r="B20" s="16"/>
      <c r="D20" s="55">
        <f>ROUND(C20/1000,0)</f>
        <v>0</v>
      </c>
    </row>
    <row r="21" spans="1:4" ht="12">
      <c r="A21" s="37" t="s">
        <v>407</v>
      </c>
      <c r="B21" s="16"/>
      <c r="C21" s="55">
        <f>SUM(C19:C20)</f>
        <v>0</v>
      </c>
      <c r="D21" s="55">
        <f>SUM(D19:D20)</f>
        <v>0</v>
      </c>
    </row>
    <row r="22" ht="12">
      <c r="B22" s="16"/>
    </row>
    <row r="23" spans="1:2" ht="12">
      <c r="A23" s="37" t="s">
        <v>1627</v>
      </c>
      <c r="B23" s="63" t="s">
        <v>1302</v>
      </c>
    </row>
    <row r="24" spans="1:4" ht="12">
      <c r="A24" s="37" t="s">
        <v>408</v>
      </c>
      <c r="B24" s="13">
        <v>78000</v>
      </c>
      <c r="C24" s="55">
        <v>0</v>
      </c>
      <c r="D24" s="55">
        <f>ROUND(C24/1000,0)</f>
        <v>0</v>
      </c>
    </row>
    <row r="26" ht="12">
      <c r="B26" s="63" t="s">
        <v>1302</v>
      </c>
    </row>
    <row r="27" spans="1:4" ht="12">
      <c r="A27" s="37" t="s">
        <v>1625</v>
      </c>
      <c r="B27" s="13">
        <v>15000</v>
      </c>
      <c r="C27" s="55">
        <v>0</v>
      </c>
      <c r="D27" s="55">
        <f>ROUND(C27/1000,0)</f>
        <v>0</v>
      </c>
    </row>
    <row r="29" spans="1:4" s="61" customFormat="1" ht="12">
      <c r="A29" s="61" t="s">
        <v>307</v>
      </c>
      <c r="B29" s="226"/>
      <c r="C29" s="226">
        <f>C12+C17+C21+C24+C27</f>
        <v>1601984.2207023145</v>
      </c>
      <c r="D29" s="226">
        <f>D12+D17+D21+D24+D27</f>
        <v>1602</v>
      </c>
    </row>
    <row r="30" spans="2:4" s="61" customFormat="1" ht="12">
      <c r="B30" s="226"/>
      <c r="C30" s="226"/>
      <c r="D30" s="226"/>
    </row>
    <row r="31" spans="1:4" s="61" customFormat="1" ht="12">
      <c r="A31" s="61" t="s">
        <v>1167</v>
      </c>
      <c r="B31" s="226"/>
      <c r="C31" s="226"/>
      <c r="D31" s="226"/>
    </row>
    <row r="32" spans="2:4" s="61" customFormat="1" ht="12">
      <c r="B32" s="226"/>
      <c r="C32" s="226"/>
      <c r="D32" s="226"/>
    </row>
    <row r="33" spans="1:4" s="61" customFormat="1" ht="27" customHeight="1">
      <c r="A33" s="317" t="s">
        <v>547</v>
      </c>
      <c r="B33" s="318"/>
      <c r="C33" s="318"/>
      <c r="D33" s="318"/>
    </row>
    <row r="35" spans="1:4" ht="12">
      <c r="A35" s="37" t="s">
        <v>1168</v>
      </c>
      <c r="C35" s="55">
        <v>34143000</v>
      </c>
      <c r="D35" s="55">
        <f>ROUND(C35/1000,0)</f>
        <v>34143</v>
      </c>
    </row>
    <row r="36" spans="1:4" ht="12">
      <c r="A36" s="37" t="s">
        <v>409</v>
      </c>
      <c r="D36" s="55">
        <f>ROUND(C36/1000,0)</f>
        <v>0</v>
      </c>
    </row>
    <row r="38" spans="1:4" s="61" customFormat="1" ht="12">
      <c r="A38" s="61" t="s">
        <v>731</v>
      </c>
      <c r="B38" s="226"/>
      <c r="C38" s="226">
        <f>SUM(C35:C37)</f>
        <v>34143000</v>
      </c>
      <c r="D38" s="226">
        <f>SUM(D35:D37)</f>
        <v>34143</v>
      </c>
    </row>
    <row r="40" spans="1:4" s="145" customFormat="1" ht="12">
      <c r="A40" s="145" t="s">
        <v>410</v>
      </c>
      <c r="B40" s="241"/>
      <c r="C40" s="241">
        <f>C29+C38</f>
        <v>35744984.22070231</v>
      </c>
      <c r="D40" s="241">
        <f>D29+D38</f>
        <v>35745</v>
      </c>
    </row>
    <row r="42" ht="12">
      <c r="A42" s="145" t="s">
        <v>79</v>
      </c>
    </row>
    <row r="43" ht="12">
      <c r="A43" s="145"/>
    </row>
    <row r="44" ht="12">
      <c r="A44" s="145" t="s">
        <v>80</v>
      </c>
    </row>
    <row r="46" ht="12">
      <c r="A46" s="61" t="s">
        <v>413</v>
      </c>
    </row>
    <row r="48" spans="1:4" ht="27.75" customHeight="1">
      <c r="A48" s="317" t="s">
        <v>414</v>
      </c>
      <c r="B48" s="318"/>
      <c r="C48" s="318"/>
      <c r="D48" s="318"/>
    </row>
    <row r="50" ht="12">
      <c r="A50" s="37" t="s">
        <v>795</v>
      </c>
    </row>
    <row r="51" ht="12">
      <c r="A51" s="37" t="s">
        <v>415</v>
      </c>
    </row>
    <row r="53" spans="1:2" ht="12">
      <c r="A53" s="37" t="s">
        <v>416</v>
      </c>
      <c r="B53" s="63" t="s">
        <v>1364</v>
      </c>
    </row>
    <row r="54" spans="1:2" ht="12">
      <c r="A54" s="37" t="s">
        <v>954</v>
      </c>
      <c r="B54" s="243"/>
    </row>
    <row r="55" spans="1:3" ht="12">
      <c r="A55" s="37" t="s">
        <v>417</v>
      </c>
      <c r="B55" s="243">
        <v>72414</v>
      </c>
      <c r="C55" s="55">
        <v>75000</v>
      </c>
    </row>
    <row r="56" spans="1:4" ht="12">
      <c r="A56" s="37" t="s">
        <v>416</v>
      </c>
      <c r="B56" s="243">
        <f>SUM(B54:B55)</f>
        <v>72414</v>
      </c>
      <c r="C56" s="55">
        <f>SUM(C54:C55)</f>
        <v>75000</v>
      </c>
      <c r="D56" s="55">
        <f>ROUND(C56/1000,0)</f>
        <v>75</v>
      </c>
    </row>
    <row r="58" spans="1:3" ht="12">
      <c r="A58" s="37" t="s">
        <v>1442</v>
      </c>
      <c r="B58" s="63" t="s">
        <v>853</v>
      </c>
      <c r="C58" s="63" t="s">
        <v>1311</v>
      </c>
    </row>
    <row r="59" spans="1:4" ht="12">
      <c r="A59" s="37" t="s">
        <v>1444</v>
      </c>
      <c r="B59" s="55">
        <f>C55</f>
        <v>75000</v>
      </c>
      <c r="C59" s="55">
        <f>B59*25%</f>
        <v>18750</v>
      </c>
      <c r="D59" s="55">
        <f>ROUND(C59/1000,0)</f>
        <v>19</v>
      </c>
    </row>
    <row r="61" spans="1:4" s="61" customFormat="1" ht="12">
      <c r="A61" s="61" t="s">
        <v>1445</v>
      </c>
      <c r="B61" s="226"/>
      <c r="C61" s="226">
        <f>C56+C59</f>
        <v>93750</v>
      </c>
      <c r="D61" s="226">
        <f>D56+D59</f>
        <v>94</v>
      </c>
    </row>
    <row r="63" ht="12">
      <c r="A63" s="61" t="s">
        <v>1446</v>
      </c>
    </row>
    <row r="65" spans="1:4" ht="27" customHeight="1">
      <c r="A65" s="317" t="s">
        <v>1460</v>
      </c>
      <c r="B65" s="318"/>
      <c r="C65" s="318"/>
      <c r="D65" s="318"/>
    </row>
    <row r="67" ht="12">
      <c r="A67" s="37" t="s">
        <v>795</v>
      </c>
    </row>
    <row r="68" ht="12">
      <c r="A68" s="37" t="s">
        <v>415</v>
      </c>
    </row>
    <row r="70" spans="1:2" ht="12">
      <c r="A70" s="37" t="s">
        <v>759</v>
      </c>
      <c r="B70" s="63" t="s">
        <v>1302</v>
      </c>
    </row>
    <row r="71" spans="1:4" ht="12">
      <c r="A71" s="37" t="s">
        <v>1461</v>
      </c>
      <c r="B71" s="243">
        <v>5000</v>
      </c>
      <c r="C71" s="55">
        <v>5000</v>
      </c>
      <c r="D71" s="55">
        <f>ROUND(C71/1000,0)</f>
        <v>5</v>
      </c>
    </row>
    <row r="72" spans="1:4" ht="12">
      <c r="A72" s="37" t="s">
        <v>759</v>
      </c>
      <c r="C72" s="55">
        <f>SUM(C71)</f>
        <v>5000</v>
      </c>
      <c r="D72" s="55">
        <f>SUM(D71)</f>
        <v>5</v>
      </c>
    </row>
    <row r="74" spans="1:4" s="61" customFormat="1" ht="12">
      <c r="A74" s="61" t="s">
        <v>1462</v>
      </c>
      <c r="B74" s="226"/>
      <c r="C74" s="226">
        <f>C72</f>
        <v>5000</v>
      </c>
      <c r="D74" s="226">
        <f>D72</f>
        <v>5</v>
      </c>
    </row>
    <row r="76" spans="1:4" s="145" customFormat="1" ht="12">
      <c r="A76" s="145" t="s">
        <v>81</v>
      </c>
      <c r="B76" s="241"/>
      <c r="C76" s="241">
        <f>C61+C74</f>
        <v>98750</v>
      </c>
      <c r="D76" s="241">
        <f>D61+D74</f>
        <v>99</v>
      </c>
    </row>
    <row r="78" ht="12">
      <c r="A78" s="145" t="s">
        <v>82</v>
      </c>
    </row>
    <row r="80" ht="12">
      <c r="A80" s="61" t="s">
        <v>1464</v>
      </c>
    </row>
    <row r="81" ht="12">
      <c r="A81" s="37" t="s">
        <v>1465</v>
      </c>
    </row>
    <row r="83" spans="1:4" ht="26.25" customHeight="1">
      <c r="A83" s="317" t="s">
        <v>961</v>
      </c>
      <c r="B83" s="318"/>
      <c r="C83" s="318"/>
      <c r="D83" s="318"/>
    </row>
    <row r="85" ht="12">
      <c r="A85" s="37" t="s">
        <v>795</v>
      </c>
    </row>
    <row r="86" ht="12">
      <c r="A86" s="37" t="s">
        <v>796</v>
      </c>
    </row>
    <row r="88" ht="12">
      <c r="A88" s="37" t="s">
        <v>1583</v>
      </c>
    </row>
    <row r="89" ht="12">
      <c r="A89" s="37" t="s">
        <v>1582</v>
      </c>
    </row>
    <row r="91" ht="12">
      <c r="A91" s="37" t="s">
        <v>411</v>
      </c>
    </row>
    <row r="92" ht="12">
      <c r="A92" s="37" t="s">
        <v>1584</v>
      </c>
    </row>
    <row r="93" ht="12">
      <c r="A93" s="37" t="s">
        <v>1294</v>
      </c>
    </row>
    <row r="94" ht="12">
      <c r="A94" s="37" t="s">
        <v>1295</v>
      </c>
    </row>
    <row r="95" spans="1:4" ht="12">
      <c r="A95" s="37" t="s">
        <v>1296</v>
      </c>
      <c r="C95" s="55">
        <f>B93*B94*B95</f>
        <v>0</v>
      </c>
      <c r="D95" s="55">
        <f>ROUND(C95/1000,0)</f>
        <v>0</v>
      </c>
    </row>
    <row r="96" ht="12">
      <c r="A96" s="37" t="s">
        <v>958</v>
      </c>
    </row>
    <row r="97" ht="12">
      <c r="A97" s="37" t="s">
        <v>1294</v>
      </c>
    </row>
    <row r="98" ht="12">
      <c r="A98" s="37" t="s">
        <v>1295</v>
      </c>
    </row>
    <row r="99" spans="1:4" ht="12">
      <c r="A99" s="37" t="s">
        <v>1296</v>
      </c>
      <c r="C99" s="55">
        <f>B97*B98*B99</f>
        <v>0</v>
      </c>
      <c r="D99" s="55">
        <f>ROUND(C99/1000,0)</f>
        <v>0</v>
      </c>
    </row>
    <row r="100" ht="12">
      <c r="A100" s="37" t="s">
        <v>1294</v>
      </c>
    </row>
    <row r="101" spans="1:2" ht="12">
      <c r="A101" s="37" t="s">
        <v>1295</v>
      </c>
      <c r="B101" s="54"/>
    </row>
    <row r="102" spans="1:3" ht="12">
      <c r="A102" s="37" t="s">
        <v>1296</v>
      </c>
      <c r="C102" s="55">
        <f>B100*B101*B102</f>
        <v>0</v>
      </c>
    </row>
    <row r="103" spans="1:4" ht="12">
      <c r="A103" s="37" t="s">
        <v>1611</v>
      </c>
      <c r="C103" s="55">
        <f>C95+C99+C102</f>
        <v>0</v>
      </c>
      <c r="D103" s="55">
        <f>ROUND(C103/1000,0)</f>
        <v>0</v>
      </c>
    </row>
    <row r="104" ht="12">
      <c r="A104" s="37" t="s">
        <v>1611</v>
      </c>
    </row>
    <row r="105" spans="1:4" ht="12">
      <c r="A105" s="37" t="s">
        <v>411</v>
      </c>
      <c r="C105" s="55">
        <f>C103+C104</f>
        <v>0</v>
      </c>
      <c r="D105" s="55">
        <f>D103+D104</f>
        <v>0</v>
      </c>
    </row>
    <row r="107" spans="1:5" s="9" customFormat="1" ht="12">
      <c r="A107" s="9" t="s">
        <v>707</v>
      </c>
      <c r="B107" s="243"/>
      <c r="C107" s="243">
        <f>C105</f>
        <v>0</v>
      </c>
      <c r="D107" s="243">
        <f>D105</f>
        <v>0</v>
      </c>
      <c r="E107" s="243"/>
    </row>
    <row r="109" spans="1:4" s="61" customFormat="1" ht="12">
      <c r="A109" s="61" t="s">
        <v>1612</v>
      </c>
      <c r="B109" s="226"/>
      <c r="C109" s="226">
        <f>C107</f>
        <v>0</v>
      </c>
      <c r="D109" s="226">
        <f>D107</f>
        <v>0</v>
      </c>
    </row>
    <row r="110" spans="2:4" s="61" customFormat="1" ht="12">
      <c r="B110" s="226"/>
      <c r="C110" s="226"/>
      <c r="D110" s="226"/>
    </row>
    <row r="111" spans="1:4" s="61" customFormat="1" ht="12">
      <c r="A111" s="61" t="s">
        <v>959</v>
      </c>
      <c r="B111" s="226"/>
      <c r="C111" s="226"/>
      <c r="D111" s="226"/>
    </row>
    <row r="112" spans="2:4" s="61" customFormat="1" ht="12">
      <c r="B112" s="226"/>
      <c r="C112" s="226"/>
      <c r="D112" s="226"/>
    </row>
    <row r="113" spans="1:4" s="61" customFormat="1" ht="12.75">
      <c r="A113" s="315" t="s">
        <v>960</v>
      </c>
      <c r="B113" s="316"/>
      <c r="C113" s="316"/>
      <c r="D113" s="316"/>
    </row>
    <row r="114" spans="2:4" s="61" customFormat="1" ht="12">
      <c r="B114" s="226"/>
      <c r="C114" s="226"/>
      <c r="D114" s="226"/>
    </row>
    <row r="115" ht="12">
      <c r="A115" s="9" t="s">
        <v>707</v>
      </c>
    </row>
    <row r="116" spans="1:2" ht="12">
      <c r="A116" s="37" t="s">
        <v>1293</v>
      </c>
      <c r="B116" s="63" t="s">
        <v>711</v>
      </c>
    </row>
    <row r="117" spans="1:3" ht="12">
      <c r="A117" s="37" t="s">
        <v>955</v>
      </c>
      <c r="B117" s="55">
        <v>110000</v>
      </c>
      <c r="C117" s="55">
        <f>B117*12</f>
        <v>1320000</v>
      </c>
    </row>
    <row r="118" spans="1:3" ht="12">
      <c r="A118" s="37" t="s">
        <v>956</v>
      </c>
      <c r="B118" s="55">
        <v>20000</v>
      </c>
      <c r="C118" s="55">
        <f>B118*12</f>
        <v>240000</v>
      </c>
    </row>
    <row r="119" spans="1:3" ht="12">
      <c r="A119" s="37" t="s">
        <v>957</v>
      </c>
      <c r="B119" s="55">
        <v>160800</v>
      </c>
      <c r="C119" s="55">
        <f>B119*12</f>
        <v>1929600</v>
      </c>
    </row>
    <row r="120" spans="1:4" ht="12">
      <c r="A120" s="37" t="s">
        <v>1293</v>
      </c>
      <c r="B120" s="55">
        <f>SUM(B117:B119)</f>
        <v>290800</v>
      </c>
      <c r="C120" s="55">
        <f>SUM(C117:C119)</f>
        <v>3489600</v>
      </c>
      <c r="D120" s="55">
        <f>ROUND(C120/1000,0)</f>
        <v>3490</v>
      </c>
    </row>
    <row r="121" spans="2:4" s="61" customFormat="1" ht="12">
      <c r="B121" s="226"/>
      <c r="C121" s="226"/>
      <c r="D121" s="226"/>
    </row>
    <row r="122" spans="1:4" s="61" customFormat="1" ht="12">
      <c r="A122" s="9" t="s">
        <v>707</v>
      </c>
      <c r="B122" s="226"/>
      <c r="C122" s="55">
        <f>C120</f>
        <v>3489600</v>
      </c>
      <c r="D122" s="55">
        <f>D120</f>
        <v>3490</v>
      </c>
    </row>
    <row r="123" spans="2:4" s="61" customFormat="1" ht="12">
      <c r="B123" s="226"/>
      <c r="C123" s="226"/>
      <c r="D123" s="226"/>
    </row>
    <row r="124" spans="1:4" s="61" customFormat="1" ht="12">
      <c r="A124" s="61" t="s">
        <v>962</v>
      </c>
      <c r="B124" s="226"/>
      <c r="C124" s="226">
        <f>C122</f>
        <v>3489600</v>
      </c>
      <c r="D124" s="226">
        <f>D122</f>
        <v>3490</v>
      </c>
    </row>
    <row r="126" ht="12">
      <c r="A126" s="61" t="s">
        <v>1615</v>
      </c>
    </row>
    <row r="128" spans="1:4" ht="43.5" customHeight="1">
      <c r="A128" s="317" t="s">
        <v>642</v>
      </c>
      <c r="B128" s="318"/>
      <c r="C128" s="318"/>
      <c r="D128" s="318"/>
    </row>
    <row r="130" ht="12">
      <c r="A130" s="37" t="s">
        <v>795</v>
      </c>
    </row>
    <row r="131" ht="12">
      <c r="A131" s="37" t="s">
        <v>643</v>
      </c>
    </row>
    <row r="133" ht="12">
      <c r="A133" s="37" t="s">
        <v>406</v>
      </c>
    </row>
    <row r="134" spans="1:2" ht="12">
      <c r="A134" s="37" t="s">
        <v>1613</v>
      </c>
      <c r="B134" s="278" t="s">
        <v>1364</v>
      </c>
    </row>
    <row r="135" spans="1:3" ht="12">
      <c r="A135" s="37" t="s">
        <v>912</v>
      </c>
      <c r="B135" s="55">
        <v>193000</v>
      </c>
      <c r="C135" s="55">
        <v>193000</v>
      </c>
    </row>
    <row r="136" spans="1:4" ht="12">
      <c r="A136" s="37" t="s">
        <v>1613</v>
      </c>
      <c r="C136" s="55">
        <f>SUM(C135)</f>
        <v>193000</v>
      </c>
      <c r="D136" s="55">
        <f>ROUND(C136/1000,0)</f>
        <v>193</v>
      </c>
    </row>
    <row r="138" spans="1:4" s="61" customFormat="1" ht="12">
      <c r="A138" s="61" t="s">
        <v>1614</v>
      </c>
      <c r="B138" s="226"/>
      <c r="C138" s="226">
        <f>SUM(C136:C137)</f>
        <v>193000</v>
      </c>
      <c r="D138" s="226">
        <f>SUM(D136:D137)</f>
        <v>193</v>
      </c>
    </row>
    <row r="140" spans="1:4" s="145" customFormat="1" ht="12">
      <c r="A140" s="145" t="s">
        <v>1463</v>
      </c>
      <c r="B140" s="244"/>
      <c r="C140" s="241">
        <f>C109+C124+C138</f>
        <v>3682600</v>
      </c>
      <c r="D140" s="241">
        <f>D109+D124+D138</f>
        <v>3683</v>
      </c>
    </row>
    <row r="142" ht="12">
      <c r="A142" s="145" t="s">
        <v>85</v>
      </c>
    </row>
    <row r="144" ht="12">
      <c r="A144" s="61" t="s">
        <v>645</v>
      </c>
    </row>
    <row r="146" spans="1:4" ht="30" customHeight="1">
      <c r="A146" s="317" t="s">
        <v>646</v>
      </c>
      <c r="B146" s="318"/>
      <c r="C146" s="318"/>
      <c r="D146" s="318"/>
    </row>
    <row r="148" ht="12">
      <c r="A148" s="37" t="s">
        <v>647</v>
      </c>
    </row>
    <row r="149" ht="12">
      <c r="A149" s="37" t="s">
        <v>648</v>
      </c>
    </row>
    <row r="150" ht="12">
      <c r="A150" s="37" t="s">
        <v>649</v>
      </c>
    </row>
    <row r="152" spans="1:2" ht="12">
      <c r="A152" s="9" t="s">
        <v>83</v>
      </c>
      <c r="B152" s="243"/>
    </row>
    <row r="154" ht="12">
      <c r="A154" s="37" t="s">
        <v>650</v>
      </c>
    </row>
    <row r="155" spans="1:2" ht="12">
      <c r="A155" s="37" t="s">
        <v>651</v>
      </c>
      <c r="B155" s="55">
        <f>étk!$C$29</f>
        <v>23</v>
      </c>
    </row>
    <row r="156" spans="1:2" ht="12">
      <c r="A156" s="37" t="s">
        <v>652</v>
      </c>
      <c r="B156" s="55">
        <f>étk!$B$10+étk!$B$11</f>
        <v>41</v>
      </c>
    </row>
    <row r="157" spans="1:2" ht="12">
      <c r="A157" s="37" t="s">
        <v>653</v>
      </c>
      <c r="B157" s="55">
        <f>étk!$B$23-étk!$B$10-étk!$B$11</f>
        <v>154</v>
      </c>
    </row>
    <row r="158" spans="1:2" ht="12">
      <c r="A158" s="37" t="s">
        <v>654</v>
      </c>
      <c r="B158" s="234">
        <f>étk!$L$23</f>
        <v>0.7786080273270709</v>
      </c>
    </row>
    <row r="159" spans="1:2" ht="12">
      <c r="A159" s="37" t="s">
        <v>655</v>
      </c>
      <c r="B159" s="55">
        <v>171</v>
      </c>
    </row>
    <row r="160" spans="1:2" ht="12">
      <c r="A160" s="37" t="s">
        <v>656</v>
      </c>
      <c r="B160" s="55">
        <v>171</v>
      </c>
    </row>
    <row r="161" spans="1:3" ht="12">
      <c r="A161" s="37" t="s">
        <v>891</v>
      </c>
      <c r="C161" s="55">
        <f>B155*B156*B159*B158</f>
        <v>125552.88023057216</v>
      </c>
    </row>
    <row r="162" spans="1:3" ht="12">
      <c r="A162" s="37" t="s">
        <v>892</v>
      </c>
      <c r="C162" s="55">
        <f>B155*B157*B158*B160</f>
        <v>471588.86720751494</v>
      </c>
    </row>
    <row r="163" spans="1:4" ht="12">
      <c r="A163" s="37" t="s">
        <v>893</v>
      </c>
      <c r="C163" s="55">
        <f>SUM(C161:C162)</f>
        <v>597141.7474380871</v>
      </c>
      <c r="D163" s="55">
        <f>ROUND(C163/1000,0)</f>
        <v>597</v>
      </c>
    </row>
    <row r="165" spans="2:3" ht="12">
      <c r="B165" s="14" t="s">
        <v>853</v>
      </c>
      <c r="C165" s="14" t="s">
        <v>1311</v>
      </c>
    </row>
    <row r="166" spans="1:4" ht="12">
      <c r="A166" s="37" t="s">
        <v>657</v>
      </c>
      <c r="B166" s="55">
        <f>C163</f>
        <v>597141.7474380871</v>
      </c>
      <c r="C166" s="55">
        <f>B166*20%</f>
        <v>119428.34948761744</v>
      </c>
      <c r="D166" s="55">
        <f>ROUND(C166/1000,0)+1</f>
        <v>120</v>
      </c>
    </row>
    <row r="168" spans="1:4" s="61" customFormat="1" ht="12">
      <c r="A168" s="61" t="s">
        <v>658</v>
      </c>
      <c r="B168" s="226"/>
      <c r="C168" s="226">
        <f>C163+C166</f>
        <v>716570.0969257045</v>
      </c>
      <c r="D168" s="226">
        <f>D163+D166</f>
        <v>717</v>
      </c>
    </row>
    <row r="170" ht="12">
      <c r="A170" s="61" t="s">
        <v>890</v>
      </c>
    </row>
    <row r="172" spans="1:4" ht="29.25" customHeight="1">
      <c r="A172" s="317" t="s">
        <v>895</v>
      </c>
      <c r="B172" s="318"/>
      <c r="C172" s="318"/>
      <c r="D172" s="318"/>
    </row>
    <row r="174" ht="12">
      <c r="A174" s="37" t="s">
        <v>647</v>
      </c>
    </row>
    <row r="175" ht="12">
      <c r="A175" s="37" t="s">
        <v>648</v>
      </c>
    </row>
    <row r="176" ht="12">
      <c r="A176" s="37" t="s">
        <v>649</v>
      </c>
    </row>
    <row r="178" spans="1:2" ht="12">
      <c r="A178" s="9" t="s">
        <v>894</v>
      </c>
      <c r="B178" s="243"/>
    </row>
    <row r="180" ht="12">
      <c r="A180" s="37" t="s">
        <v>650</v>
      </c>
    </row>
    <row r="181" ht="12">
      <c r="A181" s="37" t="s">
        <v>896</v>
      </c>
    </row>
    <row r="182" spans="1:2" ht="12">
      <c r="A182" s="37" t="s">
        <v>897</v>
      </c>
      <c r="B182" s="55">
        <f>étk!$O$29</f>
        <v>16</v>
      </c>
    </row>
    <row r="183" spans="1:2" ht="12">
      <c r="A183" s="37" t="s">
        <v>652</v>
      </c>
      <c r="B183" s="55">
        <f>étk!$N$10+étk!$N$11</f>
        <v>41</v>
      </c>
    </row>
    <row r="184" spans="1:2" ht="12">
      <c r="A184" s="37" t="s">
        <v>653</v>
      </c>
      <c r="B184" s="55">
        <f>étk!$N$23-étk!$N$10-étk!$N$11</f>
        <v>140</v>
      </c>
    </row>
    <row r="185" spans="1:2" ht="12">
      <c r="A185" s="37" t="s">
        <v>654</v>
      </c>
      <c r="B185" s="234">
        <f>étk!$U$23</f>
        <v>0.824616122840691</v>
      </c>
    </row>
    <row r="186" spans="1:3" ht="12">
      <c r="A186" s="37" t="s">
        <v>655</v>
      </c>
      <c r="B186" s="55">
        <v>140</v>
      </c>
      <c r="C186" s="55">
        <f>B182*B183*B185*B186</f>
        <v>75732.74472168906</v>
      </c>
    </row>
    <row r="187" spans="1:3" ht="12">
      <c r="A187" s="37" t="s">
        <v>656</v>
      </c>
      <c r="B187" s="55">
        <v>140</v>
      </c>
      <c r="C187" s="55">
        <f>B182*B184*B185*B187</f>
        <v>258599.6161228407</v>
      </c>
    </row>
    <row r="188" spans="3:4" ht="12">
      <c r="C188" s="55">
        <f>SUM(C186:C187)</f>
        <v>334332.36084452976</v>
      </c>
      <c r="D188" s="55">
        <f>ROUND(C188/1000,0)</f>
        <v>334</v>
      </c>
    </row>
    <row r="189" ht="12">
      <c r="A189" s="37" t="s">
        <v>1312</v>
      </c>
    </row>
    <row r="190" spans="1:2" ht="12">
      <c r="A190" s="37" t="s">
        <v>897</v>
      </c>
      <c r="B190" s="55">
        <f>étk!$X$29</f>
        <v>40</v>
      </c>
    </row>
    <row r="191" spans="1:2" ht="12">
      <c r="A191" s="37" t="s">
        <v>652</v>
      </c>
      <c r="B191" s="55">
        <f>étk!$N$10+étk!$N$11</f>
        <v>41</v>
      </c>
    </row>
    <row r="192" spans="1:2" ht="12">
      <c r="A192" s="37" t="s">
        <v>653</v>
      </c>
      <c r="B192" s="55">
        <f>étk!$N$23-étk!$N$10-étk!$N$11</f>
        <v>140</v>
      </c>
    </row>
    <row r="193" spans="1:2" ht="12">
      <c r="A193" s="37" t="s">
        <v>654</v>
      </c>
      <c r="B193" s="234">
        <f>étk!$AE$23</f>
        <v>0.8601950766372504</v>
      </c>
    </row>
    <row r="194" spans="1:3" ht="12">
      <c r="A194" s="37" t="s">
        <v>655</v>
      </c>
      <c r="B194" s="55">
        <v>240</v>
      </c>
      <c r="C194" s="55">
        <f>B190*B191*B193*B194</f>
        <v>338572.78216442175</v>
      </c>
    </row>
    <row r="195" spans="1:3" ht="12">
      <c r="A195" s="37" t="s">
        <v>656</v>
      </c>
      <c r="B195" s="55">
        <v>240</v>
      </c>
      <c r="C195" s="55">
        <f>B190*B192*B193*B195</f>
        <v>1156102.1830004645</v>
      </c>
    </row>
    <row r="196" spans="3:4" ht="12">
      <c r="C196" s="55">
        <f>SUM(C194:C195)</f>
        <v>1494674.9651648863</v>
      </c>
      <c r="D196" s="55">
        <f>ROUND(C196/1000,0)</f>
        <v>1495</v>
      </c>
    </row>
    <row r="198" spans="1:4" ht="12">
      <c r="A198" s="37" t="s">
        <v>650</v>
      </c>
      <c r="C198" s="55">
        <f>C188+C196</f>
        <v>1829007.326009416</v>
      </c>
      <c r="D198" s="55">
        <f>D188+D196</f>
        <v>1829</v>
      </c>
    </row>
    <row r="200" spans="2:3" ht="12">
      <c r="B200" s="14" t="s">
        <v>853</v>
      </c>
      <c r="C200" s="14" t="s">
        <v>1311</v>
      </c>
    </row>
    <row r="201" spans="1:4" ht="12">
      <c r="A201" s="37" t="s">
        <v>657</v>
      </c>
      <c r="B201" s="55">
        <f>C198</f>
        <v>1829007.326009416</v>
      </c>
      <c r="C201" s="55">
        <f>B201*20%</f>
        <v>365801.4652018832</v>
      </c>
      <c r="D201" s="55">
        <f>ROUND(C201/1000,0)</f>
        <v>366</v>
      </c>
    </row>
    <row r="203" spans="1:4" s="61" customFormat="1" ht="12">
      <c r="A203" s="61" t="s">
        <v>898</v>
      </c>
      <c r="B203" s="226"/>
      <c r="C203" s="226">
        <f>C198+C201</f>
        <v>2194808.791211299</v>
      </c>
      <c r="D203" s="226">
        <f>D198+D201</f>
        <v>2195</v>
      </c>
    </row>
    <row r="204" spans="2:4" s="61" customFormat="1" ht="12">
      <c r="B204" s="226"/>
      <c r="C204" s="226"/>
      <c r="D204" s="226"/>
    </row>
    <row r="205" ht="12">
      <c r="A205" s="61" t="s">
        <v>899</v>
      </c>
    </row>
    <row r="207" spans="1:4" ht="25.5" customHeight="1">
      <c r="A207" s="317" t="s">
        <v>1437</v>
      </c>
      <c r="B207" s="318"/>
      <c r="C207" s="318"/>
      <c r="D207" s="318"/>
    </row>
    <row r="209" ht="12">
      <c r="A209" s="37" t="s">
        <v>795</v>
      </c>
    </row>
    <row r="210" ht="12">
      <c r="A210" s="37" t="s">
        <v>796</v>
      </c>
    </row>
    <row r="212" spans="1:4" ht="12">
      <c r="A212" s="319" t="s">
        <v>1313</v>
      </c>
      <c r="B212" s="318"/>
      <c r="C212" s="318"/>
      <c r="D212" s="318"/>
    </row>
    <row r="214" ht="12">
      <c r="A214" s="9" t="s">
        <v>894</v>
      </c>
    </row>
    <row r="216" ht="12">
      <c r="A216" s="37" t="s">
        <v>900</v>
      </c>
    </row>
    <row r="217" ht="12">
      <c r="A217" s="37" t="s">
        <v>1439</v>
      </c>
    </row>
    <row r="218" spans="1:2" ht="12">
      <c r="A218" s="37" t="s">
        <v>401</v>
      </c>
      <c r="B218" s="55">
        <f>étk!$AH$29</f>
        <v>0</v>
      </c>
    </row>
    <row r="219" spans="1:2" ht="12">
      <c r="A219" s="37" t="s">
        <v>402</v>
      </c>
      <c r="B219" s="234">
        <v>0.8</v>
      </c>
    </row>
    <row r="220" spans="1:2" ht="12">
      <c r="A220" s="37" t="s">
        <v>1440</v>
      </c>
      <c r="B220" s="55">
        <f>étk!$AG$10+étk!$AG$11</f>
        <v>41</v>
      </c>
    </row>
    <row r="221" spans="1:2" ht="12">
      <c r="A221" s="37" t="s">
        <v>1441</v>
      </c>
      <c r="B221" s="55">
        <f>étk!$AG$23-étk!$AG$10-étk!$AG$11</f>
        <v>190</v>
      </c>
    </row>
    <row r="222" ht="12">
      <c r="A222" s="37" t="s">
        <v>1438</v>
      </c>
    </row>
    <row r="223" spans="1:3" ht="12">
      <c r="A223" s="37" t="s">
        <v>1218</v>
      </c>
      <c r="C223" s="55">
        <f>B218*B220*B219*B223</f>
        <v>0</v>
      </c>
    </row>
    <row r="224" spans="1:3" ht="12">
      <c r="A224" s="37" t="s">
        <v>1219</v>
      </c>
      <c r="C224" s="55">
        <f>B218*B221*B219*B224</f>
        <v>0</v>
      </c>
    </row>
    <row r="225" spans="1:4" ht="12">
      <c r="A225" s="37" t="s">
        <v>1439</v>
      </c>
      <c r="C225" s="55">
        <f>SUM(C223:C224)</f>
        <v>0</v>
      </c>
      <c r="D225" s="55">
        <f>ROUND(C225/1000,0)</f>
        <v>0</v>
      </c>
    </row>
    <row r="227" ht="12">
      <c r="A227" s="37" t="s">
        <v>900</v>
      </c>
    </row>
    <row r="228" ht="12">
      <c r="A228" s="37" t="s">
        <v>901</v>
      </c>
    </row>
    <row r="229" spans="1:2" ht="12">
      <c r="A229" s="37" t="s">
        <v>401</v>
      </c>
      <c r="B229" s="55">
        <f>étk!$AI$29</f>
        <v>8</v>
      </c>
    </row>
    <row r="230" spans="1:2" ht="12">
      <c r="A230" s="37" t="s">
        <v>402</v>
      </c>
      <c r="B230" s="234">
        <v>0.8</v>
      </c>
    </row>
    <row r="231" spans="1:2" ht="12">
      <c r="A231" s="37" t="s">
        <v>1440</v>
      </c>
      <c r="B231" s="55">
        <f>étk!$AG$10+étk!$AG$11</f>
        <v>41</v>
      </c>
    </row>
    <row r="232" spans="1:2" ht="12">
      <c r="A232" s="37" t="s">
        <v>1441</v>
      </c>
      <c r="B232" s="55">
        <f>étk!$AG$23-étk!$AG$10-étk!$AG$11</f>
        <v>190</v>
      </c>
    </row>
    <row r="233" ht="12">
      <c r="A233" s="37" t="s">
        <v>1220</v>
      </c>
    </row>
    <row r="234" spans="1:3" ht="12">
      <c r="A234" s="37" t="s">
        <v>1221</v>
      </c>
      <c r="B234" s="55">
        <v>375</v>
      </c>
      <c r="C234" s="55">
        <f>B229*B231*B230*B234</f>
        <v>98400.00000000001</v>
      </c>
    </row>
    <row r="235" spans="1:3" ht="12">
      <c r="A235" s="37" t="s">
        <v>1222</v>
      </c>
      <c r="B235" s="55">
        <v>375</v>
      </c>
      <c r="C235" s="55">
        <f>B229*B232*B230*B235</f>
        <v>456000</v>
      </c>
    </row>
    <row r="236" spans="1:4" ht="12">
      <c r="A236" s="37" t="s">
        <v>1223</v>
      </c>
      <c r="C236" s="55">
        <f>SUM(C234:C235)</f>
        <v>554400</v>
      </c>
      <c r="D236" s="55">
        <f>ROUND(C236/1000,0)</f>
        <v>554</v>
      </c>
    </row>
    <row r="238" spans="1:4" ht="12">
      <c r="A238" s="37" t="s">
        <v>900</v>
      </c>
      <c r="C238" s="55">
        <f>C225+C236</f>
        <v>554400</v>
      </c>
      <c r="D238" s="55">
        <f>D225+D236</f>
        <v>554</v>
      </c>
    </row>
    <row r="240" spans="2:3" ht="12">
      <c r="B240" s="14" t="s">
        <v>853</v>
      </c>
      <c r="C240" s="14" t="s">
        <v>1311</v>
      </c>
    </row>
    <row r="241" spans="1:4" ht="12">
      <c r="A241" s="37" t="s">
        <v>657</v>
      </c>
      <c r="B241" s="55">
        <f>C238</f>
        <v>554400</v>
      </c>
      <c r="C241" s="55">
        <f>B241*20%</f>
        <v>110880</v>
      </c>
      <c r="D241" s="55">
        <f>ROUND(C241/1000,0)</f>
        <v>111</v>
      </c>
    </row>
    <row r="242" spans="2:4" s="61" customFormat="1" ht="12">
      <c r="B242" s="226"/>
      <c r="C242" s="226"/>
      <c r="D242" s="226"/>
    </row>
    <row r="243" spans="1:4" s="61" customFormat="1" ht="12">
      <c r="A243" s="61" t="s">
        <v>1314</v>
      </c>
      <c r="B243" s="226"/>
      <c r="C243" s="226"/>
      <c r="D243" s="226"/>
    </row>
    <row r="245" ht="12">
      <c r="A245" s="37" t="s">
        <v>736</v>
      </c>
    </row>
    <row r="246" ht="12">
      <c r="A246" s="37" t="s">
        <v>1224</v>
      </c>
    </row>
    <row r="247" spans="1:2" ht="12">
      <c r="A247" s="37" t="s">
        <v>401</v>
      </c>
      <c r="B247" s="55">
        <f>étk!$AL$29</f>
        <v>0</v>
      </c>
    </row>
    <row r="248" spans="1:2" ht="12">
      <c r="A248" s="37" t="s">
        <v>402</v>
      </c>
      <c r="B248" s="234">
        <v>0.8</v>
      </c>
    </row>
    <row r="249" spans="1:2" ht="12">
      <c r="A249" s="37" t="s">
        <v>1440</v>
      </c>
      <c r="B249" s="55">
        <f>étk!$AG$10+étk!$AG$11</f>
        <v>41</v>
      </c>
    </row>
    <row r="250" spans="1:2" ht="12">
      <c r="A250" s="37" t="s">
        <v>1441</v>
      </c>
      <c r="B250" s="55">
        <f>étk!$AG$23-étk!$AG$10-étk!$AG$11</f>
        <v>190</v>
      </c>
    </row>
    <row r="252" spans="1:3" ht="12">
      <c r="A252" s="37" t="s">
        <v>1221</v>
      </c>
      <c r="B252" s="55">
        <v>450</v>
      </c>
      <c r="C252" s="55">
        <f>B247*B249*B248*B252</f>
        <v>0</v>
      </c>
    </row>
    <row r="253" spans="1:3" ht="12">
      <c r="A253" s="37" t="s">
        <v>1222</v>
      </c>
      <c r="B253" s="55">
        <v>450</v>
      </c>
      <c r="C253" s="55">
        <f>B247*B250*B248*B253</f>
        <v>0</v>
      </c>
    </row>
    <row r="254" spans="1:4" ht="12">
      <c r="A254" s="37" t="s">
        <v>736</v>
      </c>
      <c r="C254" s="55">
        <f>SUM(C252:C253)</f>
        <v>0</v>
      </c>
      <c r="D254" s="55">
        <f>ROUND(C254/1000,0)</f>
        <v>0</v>
      </c>
    </row>
    <row r="255" spans="2:3" ht="12">
      <c r="B255" s="14" t="s">
        <v>853</v>
      </c>
      <c r="C255" s="14" t="s">
        <v>1311</v>
      </c>
    </row>
    <row r="256" spans="1:4" ht="12">
      <c r="A256" s="37" t="s">
        <v>657</v>
      </c>
      <c r="B256" s="55">
        <f>C254</f>
        <v>0</v>
      </c>
      <c r="C256" s="55">
        <f>B256*20%</f>
        <v>0</v>
      </c>
      <c r="D256" s="55">
        <f>ROUND(C256/1000,0)</f>
        <v>0</v>
      </c>
    </row>
    <row r="258" spans="1:4" s="61" customFormat="1" ht="12">
      <c r="A258" s="61" t="s">
        <v>902</v>
      </c>
      <c r="B258" s="226"/>
      <c r="C258" s="226">
        <f>C238+C241+C254+C256</f>
        <v>665280</v>
      </c>
      <c r="D258" s="226">
        <f>D238+D241+D254+D256</f>
        <v>665</v>
      </c>
    </row>
    <row r="259" spans="1:4" s="145" customFormat="1" ht="12">
      <c r="A259" s="37"/>
      <c r="B259" s="55"/>
      <c r="C259" s="55"/>
      <c r="D259" s="55"/>
    </row>
    <row r="260" spans="1:4" ht="12">
      <c r="A260" s="145" t="s">
        <v>644</v>
      </c>
      <c r="B260" s="241"/>
      <c r="C260" s="241">
        <f>C168+C203+C258</f>
        <v>3576658.8881370034</v>
      </c>
      <c r="D260" s="241">
        <f>D168+D203+D258</f>
        <v>3577</v>
      </c>
    </row>
    <row r="262" ht="12">
      <c r="A262" s="145" t="s">
        <v>84</v>
      </c>
    </row>
    <row r="264" ht="12">
      <c r="A264" s="61" t="s">
        <v>904</v>
      </c>
    </row>
    <row r="265" ht="27.75" customHeight="1"/>
    <row r="266" spans="1:4" ht="12">
      <c r="A266" s="317" t="s">
        <v>905</v>
      </c>
      <c r="B266" s="318"/>
      <c r="C266" s="318"/>
      <c r="D266" s="318"/>
    </row>
    <row r="268" ht="12">
      <c r="A268" s="9" t="s">
        <v>906</v>
      </c>
    </row>
    <row r="269" ht="12">
      <c r="B269" s="63" t="s">
        <v>1196</v>
      </c>
    </row>
    <row r="270" spans="1:2" ht="12">
      <c r="A270" s="37" t="s">
        <v>907</v>
      </c>
      <c r="B270" s="13">
        <v>1429500</v>
      </c>
    </row>
    <row r="271" ht="12">
      <c r="B271" s="13"/>
    </row>
    <row r="272" spans="1:2" ht="12">
      <c r="A272" s="37" t="s">
        <v>1616</v>
      </c>
      <c r="B272" s="13">
        <v>319</v>
      </c>
    </row>
    <row r="273" spans="1:3" ht="12">
      <c r="A273" s="37" t="s">
        <v>1617</v>
      </c>
      <c r="B273" s="13">
        <v>7000</v>
      </c>
      <c r="C273" s="55">
        <f>B272*85%*B273</f>
        <v>1898049.9999999998</v>
      </c>
    </row>
    <row r="274" spans="1:3" ht="12">
      <c r="A274" s="37" t="s">
        <v>1617</v>
      </c>
      <c r="B274" s="13">
        <v>3000</v>
      </c>
      <c r="C274" s="55">
        <f>B272*15%*B274</f>
        <v>143550</v>
      </c>
    </row>
    <row r="275" spans="1:4" ht="12">
      <c r="A275" s="37" t="s">
        <v>907</v>
      </c>
      <c r="B275" s="13"/>
      <c r="C275" s="55">
        <f>SUM(C273:C274)</f>
        <v>2041599.9999999998</v>
      </c>
      <c r="D275" s="55">
        <f>ROUND(C275/1000,0)</f>
        <v>2042</v>
      </c>
    </row>
    <row r="276" spans="1:4" ht="12">
      <c r="A276" s="37" t="s">
        <v>908</v>
      </c>
      <c r="B276" s="13">
        <v>31900</v>
      </c>
      <c r="C276" s="55">
        <v>30000</v>
      </c>
      <c r="D276" s="55">
        <f>ROUND(C276/1000,0)</f>
        <v>30</v>
      </c>
    </row>
    <row r="277" spans="1:4" ht="12">
      <c r="A277" s="37" t="s">
        <v>198</v>
      </c>
      <c r="B277" s="13">
        <v>87000</v>
      </c>
      <c r="C277" s="55">
        <v>250000</v>
      </c>
      <c r="D277" s="55">
        <f>ROUND(C277/1000,0)</f>
        <v>250</v>
      </c>
    </row>
    <row r="278" spans="1:4" ht="12">
      <c r="A278" s="37" t="s">
        <v>909</v>
      </c>
      <c r="B278" s="13">
        <v>68000</v>
      </c>
      <c r="C278" s="55">
        <v>60000</v>
      </c>
      <c r="D278" s="55">
        <f>ROUND(C278/1000,0)</f>
        <v>60</v>
      </c>
    </row>
    <row r="279" spans="1:4" s="9" customFormat="1" ht="12">
      <c r="A279" s="37"/>
      <c r="B279" s="13">
        <f>SUM(B270:B278)</f>
        <v>1626719</v>
      </c>
      <c r="C279" s="55"/>
      <c r="D279" s="55"/>
    </row>
    <row r="280" spans="1:4" ht="12">
      <c r="A280" s="9" t="s">
        <v>910</v>
      </c>
      <c r="B280" s="243"/>
      <c r="C280" s="243">
        <f>SUM(C275:C279)</f>
        <v>2381600</v>
      </c>
      <c r="D280" s="243">
        <f>SUM(D275:D279)</f>
        <v>2382</v>
      </c>
    </row>
    <row r="282" ht="12">
      <c r="A282" s="9" t="s">
        <v>911</v>
      </c>
    </row>
    <row r="284" ht="12">
      <c r="A284" s="245" t="s">
        <v>1225</v>
      </c>
    </row>
    <row r="285" spans="1:2" ht="12">
      <c r="A285" s="37" t="s">
        <v>577</v>
      </c>
      <c r="B285" s="55">
        <v>808</v>
      </c>
    </row>
    <row r="286" ht="12">
      <c r="A286" s="37" t="s">
        <v>44</v>
      </c>
    </row>
    <row r="287" spans="1:4" ht="12">
      <c r="A287" s="37" t="s">
        <v>199</v>
      </c>
      <c r="C287" s="55">
        <v>5677253</v>
      </c>
      <c r="D287" s="55">
        <f>ROUND(C287/1000,0)</f>
        <v>5677</v>
      </c>
    </row>
    <row r="288" ht="12">
      <c r="A288" s="37" t="s">
        <v>45</v>
      </c>
    </row>
    <row r="289" spans="1:2" ht="12">
      <c r="A289" s="37" t="s">
        <v>46</v>
      </c>
      <c r="B289" s="243">
        <f>C287/B285</f>
        <v>7026.303217821782</v>
      </c>
    </row>
    <row r="290" spans="1:2" ht="12">
      <c r="A290" s="37" t="s">
        <v>47</v>
      </c>
      <c r="B290" s="243">
        <f>B291-B289-B292</f>
        <v>461.81559405940425</v>
      </c>
    </row>
    <row r="291" spans="1:2" ht="12">
      <c r="A291" s="37" t="s">
        <v>48</v>
      </c>
      <c r="B291" s="243">
        <v>36300</v>
      </c>
    </row>
    <row r="292" spans="1:4" ht="12">
      <c r="A292" s="37" t="s">
        <v>45</v>
      </c>
      <c r="B292" s="243">
        <f>C292/B285</f>
        <v>28811.881188118812</v>
      </c>
      <c r="C292" s="279">
        <v>23280000</v>
      </c>
      <c r="D292" s="55">
        <f>ROUND(C292/1000,0)</f>
        <v>23280</v>
      </c>
    </row>
    <row r="293" spans="1:4" ht="12">
      <c r="A293" s="37" t="s">
        <v>49</v>
      </c>
      <c r="D293" s="55">
        <f>ROUND(C293/1000,0)</f>
        <v>0</v>
      </c>
    </row>
    <row r="295" ht="12">
      <c r="A295" s="9" t="s">
        <v>51</v>
      </c>
    </row>
    <row r="296" spans="1:4" ht="12">
      <c r="A296" s="9" t="s">
        <v>52</v>
      </c>
      <c r="B296" s="243"/>
      <c r="C296" s="243"/>
      <c r="D296" s="243"/>
    </row>
    <row r="297" spans="1:4" ht="12">
      <c r="A297" s="9" t="s">
        <v>53</v>
      </c>
      <c r="B297" s="243"/>
      <c r="C297" s="243">
        <v>2028080</v>
      </c>
      <c r="D297" s="243">
        <f>ROUND(C297/1000,0)</f>
        <v>2028</v>
      </c>
    </row>
    <row r="298" spans="1:4" ht="12">
      <c r="A298" s="37" t="s">
        <v>54</v>
      </c>
      <c r="C298" s="55">
        <f>C287+C292+C293</f>
        <v>28957253</v>
      </c>
      <c r="D298" s="55">
        <f>D287+D292+D293</f>
        <v>28957</v>
      </c>
    </row>
    <row r="300" ht="12">
      <c r="B300" s="63" t="s">
        <v>578</v>
      </c>
    </row>
    <row r="301" spans="1:4" ht="12">
      <c r="A301" s="245" t="s">
        <v>750</v>
      </c>
      <c r="B301" s="13">
        <v>1692601</v>
      </c>
      <c r="C301" s="55">
        <v>1800000</v>
      </c>
      <c r="D301" s="243">
        <f>ROUND(C301/1000,0)</f>
        <v>1800</v>
      </c>
    </row>
    <row r="303" ht="12">
      <c r="B303" s="63" t="s">
        <v>578</v>
      </c>
    </row>
    <row r="304" spans="1:4" ht="12">
      <c r="A304" s="37" t="s">
        <v>55</v>
      </c>
      <c r="B304" s="55">
        <v>0</v>
      </c>
      <c r="C304" s="55">
        <v>0</v>
      </c>
      <c r="D304" s="55">
        <v>0</v>
      </c>
    </row>
    <row r="305" spans="1:4" s="9" customFormat="1" ht="12">
      <c r="A305" s="37" t="s">
        <v>548</v>
      </c>
      <c r="B305" s="55">
        <v>0</v>
      </c>
      <c r="C305" s="55">
        <v>0</v>
      </c>
      <c r="D305" s="55">
        <v>0</v>
      </c>
    </row>
    <row r="306" spans="1:4" ht="12">
      <c r="A306" s="9" t="s">
        <v>56</v>
      </c>
      <c r="B306" s="243"/>
      <c r="C306" s="243">
        <f>C298+C301+C304</f>
        <v>30757253</v>
      </c>
      <c r="D306" s="243">
        <f>D298+D301+D304</f>
        <v>30757</v>
      </c>
    </row>
    <row r="308" ht="12">
      <c r="B308" s="63" t="s">
        <v>1364</v>
      </c>
    </row>
    <row r="309" spans="1:4" ht="12">
      <c r="A309" s="37" t="s">
        <v>1540</v>
      </c>
      <c r="B309" s="55">
        <v>3950</v>
      </c>
      <c r="C309" s="55">
        <v>4000</v>
      </c>
      <c r="D309" s="243">
        <f>ROUND(C309/1000,0)</f>
        <v>4</v>
      </c>
    </row>
    <row r="311" ht="12">
      <c r="B311" s="63" t="s">
        <v>1364</v>
      </c>
    </row>
    <row r="312" ht="12">
      <c r="A312" s="37" t="s">
        <v>57</v>
      </c>
    </row>
    <row r="313" ht="12">
      <c r="A313" s="37" t="s">
        <v>58</v>
      </c>
    </row>
    <row r="314" spans="1:4" ht="12">
      <c r="A314" s="9" t="s">
        <v>59</v>
      </c>
      <c r="D314" s="243">
        <f>ROUND(C314/1000,0)</f>
        <v>0</v>
      </c>
    </row>
    <row r="316" spans="1:4" ht="12">
      <c r="A316" s="37" t="s">
        <v>57</v>
      </c>
      <c r="C316" s="55">
        <f>SUM(C314:C315)</f>
        <v>0</v>
      </c>
      <c r="D316" s="55">
        <f>SUM(D314:D315)</f>
        <v>0</v>
      </c>
    </row>
    <row r="318" ht="12">
      <c r="A318" s="37" t="s">
        <v>703</v>
      </c>
    </row>
    <row r="319" ht="12">
      <c r="A319" s="9" t="s">
        <v>51</v>
      </c>
    </row>
    <row r="320" spans="1:4" ht="12">
      <c r="A320" s="37" t="s">
        <v>706</v>
      </c>
      <c r="C320" s="55">
        <f>állt!D23</f>
        <v>24920940</v>
      </c>
      <c r="D320" s="243">
        <f aca="true" t="shared" si="0" ref="D320:D325">ROUND(C320/1000,0)</f>
        <v>24921</v>
      </c>
    </row>
    <row r="321" spans="1:4" ht="12">
      <c r="A321" s="37" t="s">
        <v>1170</v>
      </c>
      <c r="D321" s="243">
        <f t="shared" si="0"/>
        <v>0</v>
      </c>
    </row>
    <row r="322" spans="1:4" ht="12">
      <c r="A322" s="37" t="s">
        <v>1169</v>
      </c>
      <c r="C322" s="55">
        <f>állt!D30+állt!D32</f>
        <v>19600041.504150197</v>
      </c>
      <c r="D322" s="243">
        <f t="shared" si="0"/>
        <v>19600</v>
      </c>
    </row>
    <row r="323" spans="1:4" ht="12">
      <c r="A323" s="37" t="s">
        <v>535</v>
      </c>
      <c r="D323" s="243">
        <f t="shared" si="0"/>
        <v>0</v>
      </c>
    </row>
    <row r="324" spans="1:4" ht="12">
      <c r="A324" s="37" t="s">
        <v>1585</v>
      </c>
      <c r="D324" s="243">
        <f t="shared" si="0"/>
        <v>0</v>
      </c>
    </row>
    <row r="325" spans="1:4" ht="12">
      <c r="A325" s="37" t="s">
        <v>951</v>
      </c>
      <c r="D325" s="55">
        <f t="shared" si="0"/>
        <v>0</v>
      </c>
    </row>
    <row r="326" spans="1:4" ht="12">
      <c r="A326" s="27" t="s">
        <v>713</v>
      </c>
      <c r="B326" s="13"/>
      <c r="C326" s="13"/>
      <c r="D326" s="13"/>
    </row>
    <row r="327" spans="1:4" ht="12">
      <c r="A327" s="27" t="s">
        <v>714</v>
      </c>
      <c r="B327" s="13"/>
      <c r="C327" s="13"/>
      <c r="D327" s="13"/>
    </row>
    <row r="328" spans="1:4" ht="12">
      <c r="A328" s="27"/>
      <c r="B328" s="13"/>
      <c r="C328" s="13"/>
      <c r="D328" s="13"/>
    </row>
    <row r="329" spans="1:4" ht="12">
      <c r="A329" s="27"/>
      <c r="B329" s="13"/>
      <c r="C329" s="13"/>
      <c r="D329" s="13"/>
    </row>
    <row r="330" spans="1:4" ht="12">
      <c r="A330" s="27" t="s">
        <v>716</v>
      </c>
      <c r="B330" s="13"/>
      <c r="C330" s="13"/>
      <c r="D330" s="13"/>
    </row>
    <row r="331" spans="1:4" ht="12">
      <c r="A331" s="27" t="s">
        <v>717</v>
      </c>
      <c r="B331" s="13"/>
      <c r="C331" s="13"/>
      <c r="D331" s="13"/>
    </row>
    <row r="332" spans="1:4" ht="12">
      <c r="A332" s="27" t="s">
        <v>715</v>
      </c>
      <c r="B332" s="13">
        <f>fsp!$C$227</f>
        <v>76103.2</v>
      </c>
      <c r="C332" s="13">
        <f>B332*90%</f>
        <v>68492.88</v>
      </c>
      <c r="D332" s="13"/>
    </row>
    <row r="333" spans="1:4" ht="12">
      <c r="A333" s="27" t="s">
        <v>718</v>
      </c>
      <c r="B333" s="13"/>
      <c r="C333" s="13"/>
      <c r="D333" s="13"/>
    </row>
    <row r="334" spans="1:4" ht="12">
      <c r="A334" s="27" t="s">
        <v>715</v>
      </c>
      <c r="B334" s="13">
        <f>fsp!C305</f>
        <v>12026083.491794312</v>
      </c>
      <c r="C334" s="13">
        <f>B334*90%</f>
        <v>10823475.14261488</v>
      </c>
      <c r="D334" s="13"/>
    </row>
    <row r="335" spans="1:4" ht="12">
      <c r="A335" s="27" t="s">
        <v>719</v>
      </c>
      <c r="B335" s="13"/>
      <c r="C335" s="13">
        <f>SUM(C332:C334)</f>
        <v>10891968.022614881</v>
      </c>
      <c r="D335" s="13">
        <f>ROUND(C335/1000,0)</f>
        <v>10892</v>
      </c>
    </row>
    <row r="336" spans="1:4" ht="12">
      <c r="A336" s="27"/>
      <c r="B336" s="13"/>
      <c r="C336" s="13"/>
      <c r="D336" s="13"/>
    </row>
    <row r="337" spans="1:4" ht="12">
      <c r="A337" s="27" t="s">
        <v>720</v>
      </c>
      <c r="B337" s="13"/>
      <c r="C337" s="13"/>
      <c r="D337" s="13"/>
    </row>
    <row r="338" spans="1:4" ht="12">
      <c r="A338" s="27" t="s">
        <v>715</v>
      </c>
      <c r="B338" s="13">
        <f>fsp!$C$258</f>
        <v>2516013.5</v>
      </c>
      <c r="C338" s="13">
        <f>B338*90%</f>
        <v>2264412.15</v>
      </c>
      <c r="D338" s="13"/>
    </row>
    <row r="339" spans="1:4" ht="12">
      <c r="A339" s="27" t="s">
        <v>721</v>
      </c>
      <c r="B339" s="13"/>
      <c r="C339" s="13">
        <f>SUM(C338)</f>
        <v>2264412.15</v>
      </c>
      <c r="D339" s="13">
        <f>ROUND(C339/1000,0)-1</f>
        <v>2263</v>
      </c>
    </row>
    <row r="340" spans="1:4" ht="12">
      <c r="A340" s="27"/>
      <c r="B340" s="13"/>
      <c r="C340" s="13"/>
      <c r="D340" s="13"/>
    </row>
    <row r="341" spans="1:4" ht="12">
      <c r="A341" s="27" t="s">
        <v>216</v>
      </c>
      <c r="B341" s="13"/>
      <c r="C341" s="13"/>
      <c r="D341" s="13"/>
    </row>
    <row r="342" spans="1:4" ht="12">
      <c r="A342" s="27" t="s">
        <v>715</v>
      </c>
      <c r="B342" s="13">
        <f>fsp!$C$284</f>
        <v>2475625.92392813</v>
      </c>
      <c r="C342" s="13">
        <f>B342*90%</f>
        <v>2228063.331535317</v>
      </c>
      <c r="D342" s="13"/>
    </row>
    <row r="343" spans="1:4" ht="12">
      <c r="A343" s="27" t="s">
        <v>544</v>
      </c>
      <c r="B343" s="13"/>
      <c r="C343" s="13">
        <f>SUM(C342)</f>
        <v>2228063.331535317</v>
      </c>
      <c r="D343" s="13">
        <f>ROUND(C343/1000,0)</f>
        <v>2228</v>
      </c>
    </row>
    <row r="344" spans="1:4" ht="12">
      <c r="A344" s="27"/>
      <c r="B344" s="13"/>
      <c r="C344" s="13"/>
      <c r="D344" s="13"/>
    </row>
    <row r="345" spans="1:4" ht="12">
      <c r="A345" s="27" t="s">
        <v>727</v>
      </c>
      <c r="B345" s="13"/>
      <c r="C345" s="13">
        <f>C335+C339+C343</f>
        <v>15384443.504150199</v>
      </c>
      <c r="D345" s="13">
        <f>D335+D339+D343</f>
        <v>15383</v>
      </c>
    </row>
    <row r="346" spans="1:4" ht="12">
      <c r="A346" s="27"/>
      <c r="B346" s="13"/>
      <c r="C346" s="13"/>
      <c r="D346" s="13"/>
    </row>
    <row r="347" spans="1:4" ht="12">
      <c r="A347" s="27" t="s">
        <v>728</v>
      </c>
      <c r="B347" s="13"/>
      <c r="C347" s="13">
        <f>állt!D32</f>
        <v>4215598</v>
      </c>
      <c r="D347" s="13">
        <f>ROUND(C347/1000,0)</f>
        <v>4216</v>
      </c>
    </row>
    <row r="349" spans="2:4" s="27" customFormat="1" ht="11.25">
      <c r="B349" s="13"/>
      <c r="C349" s="13"/>
      <c r="D349" s="13"/>
    </row>
    <row r="350" spans="1:4" s="27" customFormat="1" ht="11.25">
      <c r="A350" s="27" t="s">
        <v>712</v>
      </c>
      <c r="B350" s="13"/>
      <c r="C350" s="13">
        <f>C347</f>
        <v>4215598</v>
      </c>
      <c r="D350" s="13">
        <f>D347</f>
        <v>4216</v>
      </c>
    </row>
    <row r="351" spans="2:4" s="27" customFormat="1" ht="11.25">
      <c r="B351" s="13"/>
      <c r="C351" s="13"/>
      <c r="D351" s="13"/>
    </row>
    <row r="352" spans="1:4" s="27" customFormat="1" ht="11.25">
      <c r="A352" s="27" t="s">
        <v>730</v>
      </c>
      <c r="B352" s="13"/>
      <c r="C352" s="13"/>
      <c r="D352" s="13"/>
    </row>
    <row r="353" spans="1:4" s="61" customFormat="1" ht="12">
      <c r="A353" s="37"/>
      <c r="B353" s="55"/>
      <c r="C353" s="55"/>
      <c r="D353" s="55"/>
    </row>
    <row r="354" spans="1:4" s="61" customFormat="1" ht="12">
      <c r="A354" s="61" t="s">
        <v>731</v>
      </c>
      <c r="B354" s="226"/>
      <c r="C354" s="226">
        <f>C280+C306+C309+C316+C320+C321+C322</f>
        <v>77663834.5041502</v>
      </c>
      <c r="D354" s="226">
        <f>D280+D306+D309+D316+D320+D321+D322</f>
        <v>77664</v>
      </c>
    </row>
    <row r="355" spans="1:4" ht="12">
      <c r="A355" s="61"/>
      <c r="B355" s="226"/>
      <c r="C355" s="226"/>
      <c r="D355" s="226"/>
    </row>
    <row r="357" ht="12">
      <c r="A357" s="246" t="s">
        <v>732</v>
      </c>
    </row>
    <row r="358" ht="28.5" customHeight="1"/>
    <row r="359" spans="1:4" ht="12">
      <c r="A359" s="317" t="s">
        <v>733</v>
      </c>
      <c r="B359" s="318"/>
      <c r="C359" s="318"/>
      <c r="D359" s="318"/>
    </row>
    <row r="361" ht="12">
      <c r="A361" s="37" t="s">
        <v>734</v>
      </c>
    </row>
    <row r="362" ht="12">
      <c r="A362" s="37" t="s">
        <v>735</v>
      </c>
    </row>
    <row r="364" spans="1:2" ht="12">
      <c r="A364" s="37" t="s">
        <v>736</v>
      </c>
      <c r="B364" s="13" t="s">
        <v>1364</v>
      </c>
    </row>
    <row r="365" spans="1:2" ht="12">
      <c r="A365" s="37" t="s">
        <v>753</v>
      </c>
      <c r="B365" s="55">
        <v>0</v>
      </c>
    </row>
    <row r="366" spans="1:2" ht="12">
      <c r="A366" s="37" t="s">
        <v>754</v>
      </c>
      <c r="B366" s="243">
        <v>0</v>
      </c>
    </row>
    <row r="367" spans="1:3" ht="12">
      <c r="A367" s="37" t="s">
        <v>736</v>
      </c>
      <c r="C367" s="55">
        <f>SUM(C366)</f>
        <v>0</v>
      </c>
    </row>
    <row r="369" spans="2:3" ht="12">
      <c r="B369" s="14" t="s">
        <v>755</v>
      </c>
      <c r="C369" s="14" t="s">
        <v>1443</v>
      </c>
    </row>
    <row r="370" spans="1:3" ht="12">
      <c r="A370" s="37" t="s">
        <v>756</v>
      </c>
      <c r="B370" s="55">
        <f>C367</f>
        <v>0</v>
      </c>
      <c r="C370" s="55">
        <f>B370*25%</f>
        <v>0</v>
      </c>
    </row>
    <row r="371" spans="1:4" s="61" customFormat="1" ht="12">
      <c r="A371" s="37"/>
      <c r="B371" s="55"/>
      <c r="C371" s="55"/>
      <c r="D371" s="55"/>
    </row>
    <row r="372" spans="1:4" ht="12">
      <c r="A372" s="61" t="s">
        <v>757</v>
      </c>
      <c r="B372" s="226"/>
      <c r="C372" s="226">
        <f>C367+C370</f>
        <v>0</v>
      </c>
      <c r="D372" s="226">
        <f>D367+D370</f>
        <v>0</v>
      </c>
    </row>
    <row r="373" spans="1:4" s="145" customFormat="1" ht="12">
      <c r="A373" s="37"/>
      <c r="B373" s="55"/>
      <c r="C373" s="55"/>
      <c r="D373" s="55"/>
    </row>
    <row r="374" spans="1:4" ht="12">
      <c r="A374" s="145" t="s">
        <v>758</v>
      </c>
      <c r="B374" s="241"/>
      <c r="C374" s="241">
        <f>C354+C372</f>
        <v>77663834.5041502</v>
      </c>
      <c r="D374" s="241">
        <f>D354+D372</f>
        <v>77664</v>
      </c>
    </row>
    <row r="379" spans="1:4" ht="12">
      <c r="A379" s="37" t="s">
        <v>410</v>
      </c>
      <c r="C379" s="55">
        <f>C40</f>
        <v>35744984.22070231</v>
      </c>
      <c r="D379" s="55">
        <f>D40</f>
        <v>35745</v>
      </c>
    </row>
    <row r="380" spans="1:4" ht="12">
      <c r="A380" s="37" t="s">
        <v>412</v>
      </c>
      <c r="C380" s="55">
        <f>C42</f>
        <v>0</v>
      </c>
      <c r="D380" s="55">
        <f>D42</f>
        <v>0</v>
      </c>
    </row>
    <row r="381" spans="1:4" ht="12">
      <c r="A381" s="37" t="s">
        <v>545</v>
      </c>
      <c r="C381" s="55">
        <f>C76</f>
        <v>98750</v>
      </c>
      <c r="D381" s="55">
        <f>D76</f>
        <v>99</v>
      </c>
    </row>
    <row r="382" spans="1:4" ht="12">
      <c r="A382" s="37" t="s">
        <v>1463</v>
      </c>
      <c r="C382" s="55">
        <f>C140</f>
        <v>3682600</v>
      </c>
      <c r="D382" s="55">
        <f>D140</f>
        <v>3683</v>
      </c>
    </row>
    <row r="383" spans="1:4" ht="12">
      <c r="A383" s="37" t="s">
        <v>644</v>
      </c>
      <c r="C383" s="55">
        <f>C260</f>
        <v>3576658.8881370034</v>
      </c>
      <c r="D383" s="55">
        <f>D260</f>
        <v>3577</v>
      </c>
    </row>
    <row r="384" spans="1:4" ht="12">
      <c r="A384" s="37" t="s">
        <v>903</v>
      </c>
      <c r="C384" s="55">
        <f>C374</f>
        <v>77663834.5041502</v>
      </c>
      <c r="D384" s="55">
        <f>D374</f>
        <v>77664</v>
      </c>
    </row>
    <row r="385" spans="3:4" ht="12">
      <c r="C385" s="55">
        <f>SUM(C379:C384)</f>
        <v>120766827.61298952</v>
      </c>
      <c r="D385" s="55">
        <f>SUM(D379:D384)</f>
        <v>120768</v>
      </c>
    </row>
    <row r="389" spans="1:3" ht="12">
      <c r="A389" s="37" t="s">
        <v>8</v>
      </c>
      <c r="C389" s="55">
        <f>C385-C17-C21-C35-C36</f>
        <v>85031843.3922872</v>
      </c>
    </row>
  </sheetData>
  <mergeCells count="13">
    <mergeCell ref="A172:D172"/>
    <mergeCell ref="A128:D128"/>
    <mergeCell ref="A146:D146"/>
    <mergeCell ref="A113:D113"/>
    <mergeCell ref="A5:D5"/>
    <mergeCell ref="A48:D48"/>
    <mergeCell ref="A359:D359"/>
    <mergeCell ref="A266:D266"/>
    <mergeCell ref="A33:D33"/>
    <mergeCell ref="A83:D83"/>
    <mergeCell ref="A65:D65"/>
    <mergeCell ref="A207:D207"/>
    <mergeCell ref="A212:D212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2005.ÉVI KÖLTSÉGVETÉSE&amp;R&amp;"Arial,Dőlt"&amp;8Bevételek</oddHeader>
    <oddFooter>&amp;C&amp;"Arial,Dőlt"&amp;8&amp;P. oldal</oddFooter>
  </headerFooter>
  <rowBreaks count="4" manualBreakCount="4">
    <brk id="77" max="255" man="1"/>
    <brk id="141" max="255" man="1"/>
    <brk id="316" max="255" man="1"/>
    <brk id="3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0" sqref="D20"/>
    </sheetView>
  </sheetViews>
  <sheetFormatPr defaultColWidth="9.00390625" defaultRowHeight="12.75"/>
  <cols>
    <col min="1" max="1" width="46.375" style="277" customWidth="1"/>
    <col min="2" max="2" width="12.875" style="55" bestFit="1" customWidth="1"/>
    <col min="3" max="3" width="13.625" style="55" bestFit="1" customWidth="1"/>
    <col min="4" max="4" width="16.875" style="55" bestFit="1" customWidth="1"/>
    <col min="5" max="5" width="16.75390625" style="55" bestFit="1" customWidth="1"/>
    <col min="6" max="6" width="17.75390625" style="55" customWidth="1"/>
    <col min="7" max="7" width="16.125" style="55" bestFit="1" customWidth="1"/>
    <col min="8" max="16384" width="9.125" style="37" customWidth="1"/>
  </cols>
  <sheetData>
    <row r="1" spans="1:7" ht="12">
      <c r="A1" s="359" t="s">
        <v>1426</v>
      </c>
      <c r="B1" s="353" t="s">
        <v>1427</v>
      </c>
      <c r="C1" s="356" t="s">
        <v>1428</v>
      </c>
      <c r="D1" s="362" t="s">
        <v>1429</v>
      </c>
      <c r="E1" s="362" t="s">
        <v>1430</v>
      </c>
      <c r="F1" s="362" t="s">
        <v>1431</v>
      </c>
      <c r="G1" s="353" t="s">
        <v>782</v>
      </c>
    </row>
    <row r="2" spans="1:7" ht="12">
      <c r="A2" s="360"/>
      <c r="B2" s="354"/>
      <c r="C2" s="357"/>
      <c r="D2" s="363"/>
      <c r="E2" s="363"/>
      <c r="F2" s="363"/>
      <c r="G2" s="354"/>
    </row>
    <row r="3" spans="1:7" ht="12.75" thickBot="1">
      <c r="A3" s="361"/>
      <c r="B3" s="355"/>
      <c r="C3" s="358"/>
      <c r="D3" s="364"/>
      <c r="E3" s="364"/>
      <c r="F3" s="364"/>
      <c r="G3" s="355"/>
    </row>
    <row r="4" spans="1:7" ht="12.75" thickTop="1">
      <c r="A4" s="280"/>
      <c r="B4" s="281"/>
      <c r="C4" s="153"/>
      <c r="D4" s="153"/>
      <c r="E4" s="5"/>
      <c r="F4" s="5"/>
      <c r="G4" s="44"/>
    </row>
    <row r="5" spans="1:7" ht="12">
      <c r="A5" s="88" t="s">
        <v>549</v>
      </c>
      <c r="B5" s="44"/>
      <c r="C5" s="5"/>
      <c r="D5" s="5"/>
      <c r="E5" s="5">
        <f>D5*0%</f>
        <v>0</v>
      </c>
      <c r="F5" s="5">
        <f>D5*100%</f>
        <v>0</v>
      </c>
      <c r="G5" s="44">
        <f aca="true" t="shared" si="0" ref="G5:G13">E5+F5</f>
        <v>0</v>
      </c>
    </row>
    <row r="6" spans="1:7" ht="12">
      <c r="A6" s="88" t="s">
        <v>638</v>
      </c>
      <c r="B6" s="44">
        <v>808</v>
      </c>
      <c r="C6" s="5">
        <v>1430</v>
      </c>
      <c r="D6" s="5">
        <v>1500000</v>
      </c>
      <c r="E6" s="5">
        <f>D6*0%</f>
        <v>0</v>
      </c>
      <c r="F6" s="5">
        <f>D6*100%</f>
        <v>1500000</v>
      </c>
      <c r="G6" s="44">
        <f t="shared" si="0"/>
        <v>1500000</v>
      </c>
    </row>
    <row r="7" spans="1:7" ht="12">
      <c r="A7" s="88" t="s">
        <v>1432</v>
      </c>
      <c r="B7" s="44">
        <v>1</v>
      </c>
      <c r="C7" s="5">
        <v>3800</v>
      </c>
      <c r="D7" s="5">
        <f>B7*C7</f>
        <v>3800</v>
      </c>
      <c r="E7" s="5">
        <f>D7*0%</f>
        <v>0</v>
      </c>
      <c r="F7" s="5">
        <f>D7*100%</f>
        <v>3800</v>
      </c>
      <c r="G7" s="44">
        <f t="shared" si="0"/>
        <v>3800</v>
      </c>
    </row>
    <row r="8" spans="1:7" ht="12">
      <c r="A8" s="88" t="s">
        <v>639</v>
      </c>
      <c r="B8" s="44"/>
      <c r="C8" s="5"/>
      <c r="D8" s="5">
        <f>B8*C8</f>
        <v>0</v>
      </c>
      <c r="E8" s="5"/>
      <c r="F8" s="5"/>
      <c r="G8" s="44">
        <f t="shared" si="0"/>
        <v>0</v>
      </c>
    </row>
    <row r="9" spans="1:7" ht="12">
      <c r="A9" s="88" t="s">
        <v>1433</v>
      </c>
      <c r="B9" s="44">
        <v>12</v>
      </c>
      <c r="C9" s="5">
        <v>370000</v>
      </c>
      <c r="D9" s="5">
        <f>B9*C9</f>
        <v>4440000</v>
      </c>
      <c r="E9" s="5">
        <f>D9*0%</f>
        <v>0</v>
      </c>
      <c r="F9" s="5">
        <f>D9*100%</f>
        <v>4440000</v>
      </c>
      <c r="G9" s="44">
        <f t="shared" si="0"/>
        <v>4440000</v>
      </c>
    </row>
    <row r="10" spans="1:7" ht="12">
      <c r="A10" s="88" t="s">
        <v>536</v>
      </c>
      <c r="B10" s="44">
        <v>12</v>
      </c>
      <c r="C10" s="5">
        <v>294000</v>
      </c>
      <c r="D10" s="5">
        <f>B10*C10</f>
        <v>3528000</v>
      </c>
      <c r="E10" s="5">
        <f>D10*0%</f>
        <v>0</v>
      </c>
      <c r="F10" s="5">
        <f>D10*100%</f>
        <v>3528000</v>
      </c>
      <c r="G10" s="44">
        <f t="shared" si="0"/>
        <v>3528000</v>
      </c>
    </row>
    <row r="11" spans="1:7" ht="12">
      <c r="A11" s="88" t="s">
        <v>640</v>
      </c>
      <c r="B11" s="44"/>
      <c r="C11" s="5"/>
      <c r="D11" s="5">
        <f>SUM(D9:D10)</f>
        <v>7968000</v>
      </c>
      <c r="E11" s="5">
        <f>SUM(E9:E10)</f>
        <v>0</v>
      </c>
      <c r="F11" s="5">
        <f>SUM(F9:F10)</f>
        <v>7968000</v>
      </c>
      <c r="G11" s="44">
        <f t="shared" si="0"/>
        <v>7968000</v>
      </c>
    </row>
    <row r="12" spans="1:7" ht="24">
      <c r="A12" s="88" t="s">
        <v>641</v>
      </c>
      <c r="B12" s="44">
        <v>808</v>
      </c>
      <c r="C12" s="5">
        <v>2510</v>
      </c>
      <c r="D12" s="5">
        <f>B12*C12</f>
        <v>2028080</v>
      </c>
      <c r="E12" s="5">
        <f>D12*0%</f>
        <v>0</v>
      </c>
      <c r="F12" s="5">
        <f>D12*100%</f>
        <v>2028080</v>
      </c>
      <c r="G12" s="44">
        <f t="shared" si="0"/>
        <v>2028080</v>
      </c>
    </row>
    <row r="13" spans="1:7" ht="24">
      <c r="A13" s="88" t="s">
        <v>1564</v>
      </c>
      <c r="B13" s="44">
        <v>808</v>
      </c>
      <c r="C13" s="5">
        <f>D13/B13</f>
        <v>9285</v>
      </c>
      <c r="D13" s="5">
        <v>7502280</v>
      </c>
      <c r="E13" s="5">
        <f>D13*0%</f>
        <v>0</v>
      </c>
      <c r="F13" s="5">
        <f>D13*100%</f>
        <v>7502280</v>
      </c>
      <c r="G13" s="44">
        <f t="shared" si="0"/>
        <v>7502280</v>
      </c>
    </row>
    <row r="14" spans="1:7" ht="12">
      <c r="A14" s="88" t="s">
        <v>23</v>
      </c>
      <c r="B14" s="5">
        <v>808</v>
      </c>
      <c r="C14" s="5">
        <v>1135</v>
      </c>
      <c r="D14" s="5">
        <f>B14*C14</f>
        <v>917080</v>
      </c>
      <c r="E14" s="5">
        <f>D14*0%</f>
        <v>0</v>
      </c>
      <c r="F14" s="5">
        <f>D14*100%</f>
        <v>917080</v>
      </c>
      <c r="G14" s="44">
        <f>E14+F14</f>
        <v>917080</v>
      </c>
    </row>
    <row r="15" spans="1:7" ht="12">
      <c r="A15" s="88" t="s">
        <v>572</v>
      </c>
      <c r="B15" s="5"/>
      <c r="C15" s="5"/>
      <c r="D15" s="5"/>
      <c r="E15" s="5"/>
      <c r="F15" s="5"/>
      <c r="G15" s="44"/>
    </row>
    <row r="16" spans="1:7" ht="12">
      <c r="A16" s="88" t="s">
        <v>573</v>
      </c>
      <c r="B16" s="5">
        <v>33</v>
      </c>
      <c r="C16" s="5">
        <v>82000</v>
      </c>
      <c r="D16" s="5">
        <f>B16*C16</f>
        <v>2706000</v>
      </c>
      <c r="E16" s="5"/>
      <c r="F16" s="5"/>
      <c r="G16" s="44"/>
    </row>
    <row r="17" spans="1:7" ht="12">
      <c r="A17" s="88" t="s">
        <v>574</v>
      </c>
      <c r="B17" s="5">
        <v>5</v>
      </c>
      <c r="C17" s="5">
        <v>92500</v>
      </c>
      <c r="D17" s="5">
        <f>B17*C17</f>
        <v>462500</v>
      </c>
      <c r="E17" s="5"/>
      <c r="F17" s="5"/>
      <c r="G17" s="44"/>
    </row>
    <row r="18" spans="1:7" ht="12">
      <c r="A18" s="88" t="s">
        <v>575</v>
      </c>
      <c r="B18" s="5">
        <v>1</v>
      </c>
      <c r="C18" s="5">
        <v>82000</v>
      </c>
      <c r="D18" s="5">
        <f>B18*C18</f>
        <v>82000</v>
      </c>
      <c r="E18" s="5"/>
      <c r="F18" s="5"/>
      <c r="G18" s="44"/>
    </row>
    <row r="19" spans="1:7" ht="12">
      <c r="A19" s="88" t="s">
        <v>576</v>
      </c>
      <c r="B19" s="5">
        <v>27</v>
      </c>
      <c r="C19" s="5">
        <v>65000</v>
      </c>
      <c r="D19" s="5">
        <f>B19*C19</f>
        <v>1755000</v>
      </c>
      <c r="E19" s="5"/>
      <c r="F19" s="5"/>
      <c r="G19" s="44"/>
    </row>
    <row r="20" spans="1:7" ht="12">
      <c r="A20" s="88"/>
      <c r="B20" s="5"/>
      <c r="C20" s="5"/>
      <c r="D20" s="5">
        <f>SUM(D16:D19)</f>
        <v>5005500</v>
      </c>
      <c r="E20" s="5"/>
      <c r="F20" s="5"/>
      <c r="G20" s="44"/>
    </row>
    <row r="21" spans="1:7" ht="12">
      <c r="A21" s="88"/>
      <c r="B21" s="5"/>
      <c r="C21" s="5"/>
      <c r="D21" s="5"/>
      <c r="E21" s="5"/>
      <c r="F21" s="5"/>
      <c r="G21" s="44"/>
    </row>
    <row r="22" spans="1:7" ht="12">
      <c r="A22" s="88" t="s">
        <v>1563</v>
      </c>
      <c r="B22" s="5">
        <v>808</v>
      </c>
      <c r="C22" s="5">
        <v>515</v>
      </c>
      <c r="D22" s="5">
        <f>B22*C22</f>
        <v>416120</v>
      </c>
      <c r="E22" s="5">
        <f>D22*100%</f>
        <v>416120</v>
      </c>
      <c r="F22" s="5">
        <f>D22*0%</f>
        <v>0</v>
      </c>
      <c r="G22" s="44">
        <f>E22+F22</f>
        <v>416120</v>
      </c>
    </row>
    <row r="23" spans="1:7" ht="12">
      <c r="A23" s="282" t="s">
        <v>1565</v>
      </c>
      <c r="B23" s="4"/>
      <c r="C23" s="4"/>
      <c r="D23" s="3">
        <f>D6+D11+D12+D13+D14+D20</f>
        <v>24920940</v>
      </c>
      <c r="E23" s="3">
        <f>E6+E11+E12+E13+E14+E20</f>
        <v>0</v>
      </c>
      <c r="F23" s="3">
        <f>F6+F11+F12+F13+F14+F20</f>
        <v>19915440</v>
      </c>
      <c r="G23" s="3">
        <f>G6+G11+G12+G13+G14+G20</f>
        <v>19915440</v>
      </c>
    </row>
    <row r="24" spans="1:7" ht="12">
      <c r="A24" s="88"/>
      <c r="B24" s="5"/>
      <c r="C24" s="5"/>
      <c r="D24" s="5"/>
      <c r="E24" s="5"/>
      <c r="F24" s="5"/>
      <c r="G24" s="44"/>
    </row>
    <row r="25" spans="1:7" ht="12">
      <c r="A25" s="282" t="s">
        <v>579</v>
      </c>
      <c r="B25" s="5"/>
      <c r="C25" s="5"/>
      <c r="D25" s="5"/>
      <c r="E25" s="5"/>
      <c r="F25" s="5"/>
      <c r="G25" s="44"/>
    </row>
    <row r="26" spans="1:7" ht="12">
      <c r="A26" s="88" t="s">
        <v>580</v>
      </c>
      <c r="B26" s="20" t="s">
        <v>582</v>
      </c>
      <c r="C26" s="5"/>
      <c r="D26" s="5"/>
      <c r="E26" s="5"/>
      <c r="F26" s="5"/>
      <c r="G26" s="44"/>
    </row>
    <row r="27" spans="1:7" ht="12">
      <c r="A27" s="88" t="s">
        <v>581</v>
      </c>
      <c r="B27" s="5">
        <f>fsp!C227+fsp!C305</f>
        <v>12102186.691794312</v>
      </c>
      <c r="C27" s="5"/>
      <c r="D27" s="5">
        <f>B27*90%</f>
        <v>10891968.022614881</v>
      </c>
      <c r="E27" s="5"/>
      <c r="F27" s="5"/>
      <c r="G27" s="44"/>
    </row>
    <row r="28" spans="1:7" ht="12">
      <c r="A28" s="88" t="s">
        <v>1491</v>
      </c>
      <c r="B28" s="5">
        <f>fsp!C258</f>
        <v>2516013.5</v>
      </c>
      <c r="C28" s="5"/>
      <c r="D28" s="5">
        <f>B28*90%</f>
        <v>2264412.15</v>
      </c>
      <c r="E28" s="5"/>
      <c r="F28" s="5"/>
      <c r="G28" s="44"/>
    </row>
    <row r="29" spans="1:7" ht="12">
      <c r="A29" s="88" t="s">
        <v>1492</v>
      </c>
      <c r="B29" s="5">
        <f>fsp!C284</f>
        <v>2475625.92392813</v>
      </c>
      <c r="C29" s="5"/>
      <c r="D29" s="5">
        <f>B29*90%</f>
        <v>2228063.331535317</v>
      </c>
      <c r="E29" s="5"/>
      <c r="F29" s="5"/>
      <c r="G29" s="44"/>
    </row>
    <row r="30" spans="1:7" ht="12">
      <c r="A30" s="88" t="s">
        <v>580</v>
      </c>
      <c r="B30" s="5"/>
      <c r="C30" s="5"/>
      <c r="D30" s="5">
        <f>SUM(D27:D29)</f>
        <v>15384443.504150199</v>
      </c>
      <c r="E30" s="5"/>
      <c r="F30" s="5"/>
      <c r="G30" s="44"/>
    </row>
    <row r="31" spans="1:7" ht="12">
      <c r="A31" s="88"/>
      <c r="B31" s="5"/>
      <c r="C31" s="5"/>
      <c r="D31" s="5"/>
      <c r="E31" s="5"/>
      <c r="F31" s="5"/>
      <c r="G31" s="44"/>
    </row>
    <row r="32" spans="1:7" ht="12">
      <c r="A32" s="88" t="s">
        <v>729</v>
      </c>
      <c r="B32" s="5"/>
      <c r="C32" s="5"/>
      <c r="D32" s="5">
        <v>4215598</v>
      </c>
      <c r="E32" s="5"/>
      <c r="F32" s="5"/>
      <c r="G32" s="44"/>
    </row>
    <row r="33" spans="1:7" ht="12">
      <c r="A33" s="88"/>
      <c r="B33" s="5"/>
      <c r="C33" s="5"/>
      <c r="D33" s="5"/>
      <c r="E33" s="5"/>
      <c r="F33" s="5"/>
      <c r="G33" s="44"/>
    </row>
    <row r="34" spans="1:7" ht="12">
      <c r="A34" s="88" t="s">
        <v>1566</v>
      </c>
      <c r="B34" s="5"/>
      <c r="C34" s="5"/>
      <c r="D34" s="5">
        <v>5677253</v>
      </c>
      <c r="E34" s="5">
        <f>D34*0%</f>
        <v>0</v>
      </c>
      <c r="F34" s="5">
        <f>D34*100%</f>
        <v>5677253</v>
      </c>
      <c r="G34" s="44">
        <f>E34+F34</f>
        <v>5677253</v>
      </c>
    </row>
    <row r="35" spans="1:7" ht="12">
      <c r="A35" s="88" t="s">
        <v>1567</v>
      </c>
      <c r="B35" s="5"/>
      <c r="C35" s="5"/>
      <c r="D35" s="5">
        <v>23279907</v>
      </c>
      <c r="E35" s="5">
        <f>D35*0%</f>
        <v>0</v>
      </c>
      <c r="F35" s="5">
        <f>D35*100%</f>
        <v>23279907</v>
      </c>
      <c r="G35" s="44">
        <f>E35+F35</f>
        <v>23279907</v>
      </c>
    </row>
    <row r="36" spans="1:7" s="9" customFormat="1" ht="12">
      <c r="A36" s="282" t="s">
        <v>1568</v>
      </c>
      <c r="B36" s="4"/>
      <c r="C36" s="4"/>
      <c r="D36" s="4">
        <f>SUM(D34:D35)</f>
        <v>28957160</v>
      </c>
      <c r="E36" s="4">
        <f>SUM(E34:E35)</f>
        <v>0</v>
      </c>
      <c r="F36" s="4">
        <f>SUM(F34:F35)</f>
        <v>28957160</v>
      </c>
      <c r="G36" s="8">
        <f>SUM(G34:G35)</f>
        <v>28957160</v>
      </c>
    </row>
    <row r="37" spans="1:7" ht="12">
      <c r="A37" s="88"/>
      <c r="B37" s="5"/>
      <c r="C37" s="5"/>
      <c r="D37" s="5"/>
      <c r="E37" s="5"/>
      <c r="F37" s="5"/>
      <c r="G37" s="44"/>
    </row>
    <row r="38" spans="1:7" s="61" customFormat="1" ht="12">
      <c r="A38" s="283" t="s">
        <v>1569</v>
      </c>
      <c r="B38" s="58"/>
      <c r="C38" s="58"/>
      <c r="D38" s="58">
        <f>D23+D30+D32+D36</f>
        <v>73478141.5041502</v>
      </c>
      <c r="E38" s="58">
        <f>E23+E36</f>
        <v>0</v>
      </c>
      <c r="F38" s="58">
        <f>F23+F36</f>
        <v>48872600</v>
      </c>
      <c r="G38" s="58">
        <f>G23+G36</f>
        <v>48872600</v>
      </c>
    </row>
    <row r="39" spans="1:7" ht="12">
      <c r="A39" s="284"/>
      <c r="B39" s="51"/>
      <c r="C39" s="51"/>
      <c r="D39" s="51"/>
      <c r="E39" s="51"/>
      <c r="F39" s="51"/>
      <c r="G39" s="53"/>
    </row>
  </sheetData>
  <mergeCells count="7">
    <mergeCell ref="G1:G3"/>
    <mergeCell ref="B1:B3"/>
    <mergeCell ref="C1:C3"/>
    <mergeCell ref="A1:A3"/>
    <mergeCell ref="D1:D3"/>
    <mergeCell ref="E1:E3"/>
    <mergeCell ref="F1:F3"/>
  </mergeCells>
  <printOptions horizontalCentered="1"/>
  <pageMargins left="0.3937007874015748" right="0.3937007874015748" top="0.62" bottom="0.38" header="0.18" footer="0.19"/>
  <pageSetup horizontalDpi="600" verticalDpi="600" orientation="landscape" paperSize="9" r:id="rId1"/>
  <headerFooter alignWithMargins="0">
    <oddHeader>&amp;L
&amp;C
&amp;"Arial,Félkövér dőlt"&amp;11TISZAGYULAHÁZA KÖZSÉG  2008.ÉVI KÖZPONTI TÁMOGATÁSÁNAK SZÁMÍTÁSA&amp;R&amp;"Arial,Dőlt"&amp;8 2.számú melléklet</oddHeader>
    <oddFooter>&amp;C&amp;"Arial,Dőlt"&amp;7&amp;P.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2" sqref="G12"/>
    </sheetView>
  </sheetViews>
  <sheetFormatPr defaultColWidth="9.00390625" defaultRowHeight="12.75"/>
  <cols>
    <col min="1" max="1" width="18.375" style="98" bestFit="1" customWidth="1"/>
    <col min="2" max="2" width="8.00390625" style="98" bestFit="1" customWidth="1"/>
    <col min="3" max="3" width="7.75390625" style="98" customWidth="1"/>
    <col min="4" max="4" width="10.00390625" style="98" bestFit="1" customWidth="1"/>
    <col min="5" max="5" width="13.625" style="98" bestFit="1" customWidth="1"/>
    <col min="6" max="6" width="11.25390625" style="65" customWidth="1"/>
    <col min="7" max="7" width="10.00390625" style="98" bestFit="1" customWidth="1"/>
    <col min="8" max="8" width="9.00390625" style="98" bestFit="1" customWidth="1"/>
    <col min="9" max="9" width="13.625" style="98" bestFit="1" customWidth="1"/>
    <col min="10" max="10" width="9.00390625" style="98" bestFit="1" customWidth="1"/>
    <col min="11" max="11" width="12.625" style="98" bestFit="1" customWidth="1"/>
    <col min="12" max="16384" width="9.125" style="98" customWidth="1"/>
  </cols>
  <sheetData>
    <row r="1" spans="1:11" ht="121.5" customHeight="1" thickBot="1">
      <c r="A1" s="95" t="s">
        <v>104</v>
      </c>
      <c r="B1" s="96" t="s">
        <v>105</v>
      </c>
      <c r="C1" s="96" t="s">
        <v>106</v>
      </c>
      <c r="D1" s="96" t="s">
        <v>107</v>
      </c>
      <c r="E1" s="96" t="s">
        <v>108</v>
      </c>
      <c r="F1" s="107" t="s">
        <v>808</v>
      </c>
      <c r="G1" s="96" t="s">
        <v>809</v>
      </c>
      <c r="H1" s="96" t="s">
        <v>810</v>
      </c>
      <c r="I1" s="96" t="s">
        <v>811</v>
      </c>
      <c r="J1" s="97" t="s">
        <v>812</v>
      </c>
      <c r="K1" s="97" t="s">
        <v>830</v>
      </c>
    </row>
    <row r="2" spans="1:11" ht="13.5" thickTop="1">
      <c r="A2" s="85"/>
      <c r="B2" s="85"/>
      <c r="C2" s="85"/>
      <c r="D2" s="85"/>
      <c r="E2" s="99"/>
      <c r="F2" s="86"/>
      <c r="G2" s="85"/>
      <c r="H2" s="99"/>
      <c r="I2" s="100"/>
      <c r="J2" s="101"/>
      <c r="K2" s="108"/>
    </row>
    <row r="3" spans="1:11" ht="12.75">
      <c r="A3" s="82" t="s">
        <v>814</v>
      </c>
      <c r="B3" s="68">
        <v>6</v>
      </c>
      <c r="C3" s="68">
        <v>10</v>
      </c>
      <c r="D3" s="68">
        <v>21464</v>
      </c>
      <c r="E3" s="68">
        <f aca="true" t="shared" si="0" ref="E3:E14">D3*B3</f>
        <v>128784</v>
      </c>
      <c r="F3" s="68">
        <f aca="true" t="shared" si="1" ref="F3:F14">E3*8.5%</f>
        <v>10946.640000000001</v>
      </c>
      <c r="G3" s="68">
        <v>7155</v>
      </c>
      <c r="H3" s="68">
        <v>608</v>
      </c>
      <c r="I3" s="68">
        <f aca="true" t="shared" si="2" ref="I3:I14">E3*18%</f>
        <v>23181.12</v>
      </c>
      <c r="J3" s="66">
        <f aca="true" t="shared" si="3" ref="J3:J14">G3*18%</f>
        <v>1287.8999999999999</v>
      </c>
      <c r="K3" s="66">
        <f aca="true" t="shared" si="4" ref="K3:K14">E3+G3+I3+J3</f>
        <v>160408.02</v>
      </c>
    </row>
    <row r="4" spans="1:11" ht="12.75">
      <c r="A4" s="82" t="s">
        <v>815</v>
      </c>
      <c r="B4" s="68">
        <v>6</v>
      </c>
      <c r="C4" s="68"/>
      <c r="D4" s="68">
        <v>21464</v>
      </c>
      <c r="E4" s="68">
        <f t="shared" si="0"/>
        <v>128784</v>
      </c>
      <c r="F4" s="68">
        <f t="shared" si="1"/>
        <v>10946.640000000001</v>
      </c>
      <c r="G4" s="68">
        <f aca="true" t="shared" si="5" ref="G4:G14">D4/30*C4</f>
        <v>0</v>
      </c>
      <c r="H4" s="68">
        <f aca="true" t="shared" si="6" ref="H4:H14">G4*8.5%</f>
        <v>0</v>
      </c>
      <c r="I4" s="68">
        <f t="shared" si="2"/>
        <v>23181.12</v>
      </c>
      <c r="J4" s="66">
        <f t="shared" si="3"/>
        <v>0</v>
      </c>
      <c r="K4" s="66">
        <f t="shared" si="4"/>
        <v>151965.12</v>
      </c>
    </row>
    <row r="5" spans="1:11" ht="12.75">
      <c r="A5" s="82" t="s">
        <v>816</v>
      </c>
      <c r="B5" s="68">
        <v>7</v>
      </c>
      <c r="C5" s="68"/>
      <c r="D5" s="68">
        <v>21704</v>
      </c>
      <c r="E5" s="68">
        <f t="shared" si="0"/>
        <v>151928</v>
      </c>
      <c r="F5" s="68">
        <f t="shared" si="1"/>
        <v>12913.880000000001</v>
      </c>
      <c r="G5" s="68">
        <f t="shared" si="5"/>
        <v>0</v>
      </c>
      <c r="H5" s="68">
        <f t="shared" si="6"/>
        <v>0</v>
      </c>
      <c r="I5" s="68">
        <f t="shared" si="2"/>
        <v>27347.039999999997</v>
      </c>
      <c r="J5" s="66">
        <f t="shared" si="3"/>
        <v>0</v>
      </c>
      <c r="K5" s="66">
        <f t="shared" si="4"/>
        <v>179275.04</v>
      </c>
    </row>
    <row r="6" spans="1:11" ht="12.75">
      <c r="A6" s="82" t="s">
        <v>817</v>
      </c>
      <c r="B6" s="68">
        <v>7</v>
      </c>
      <c r="C6" s="68"/>
      <c r="D6" s="68">
        <v>21704</v>
      </c>
      <c r="E6" s="68">
        <f t="shared" si="0"/>
        <v>151928</v>
      </c>
      <c r="F6" s="68">
        <f t="shared" si="1"/>
        <v>12913.880000000001</v>
      </c>
      <c r="G6" s="68">
        <f t="shared" si="5"/>
        <v>0</v>
      </c>
      <c r="H6" s="68">
        <f t="shared" si="6"/>
        <v>0</v>
      </c>
      <c r="I6" s="68">
        <f t="shared" si="2"/>
        <v>27347.039999999997</v>
      </c>
      <c r="J6" s="66">
        <f t="shared" si="3"/>
        <v>0</v>
      </c>
      <c r="K6" s="66">
        <f t="shared" si="4"/>
        <v>179275.04</v>
      </c>
    </row>
    <row r="7" spans="1:11" ht="12.75">
      <c r="A7" s="82" t="s">
        <v>818</v>
      </c>
      <c r="B7" s="68">
        <v>8</v>
      </c>
      <c r="C7" s="68"/>
      <c r="D7" s="68">
        <v>21704</v>
      </c>
      <c r="E7" s="68">
        <f t="shared" si="0"/>
        <v>173632</v>
      </c>
      <c r="F7" s="68">
        <f t="shared" si="1"/>
        <v>14758.720000000001</v>
      </c>
      <c r="G7" s="68">
        <f t="shared" si="5"/>
        <v>0</v>
      </c>
      <c r="H7" s="68">
        <f t="shared" si="6"/>
        <v>0</v>
      </c>
      <c r="I7" s="68">
        <f t="shared" si="2"/>
        <v>31253.76</v>
      </c>
      <c r="J7" s="66">
        <f t="shared" si="3"/>
        <v>0</v>
      </c>
      <c r="K7" s="66">
        <f t="shared" si="4"/>
        <v>204885.76</v>
      </c>
    </row>
    <row r="8" spans="1:11" ht="12.75">
      <c r="A8" s="82" t="s">
        <v>819</v>
      </c>
      <c r="B8" s="68">
        <v>8</v>
      </c>
      <c r="C8" s="68"/>
      <c r="D8" s="68">
        <v>21704</v>
      </c>
      <c r="E8" s="68">
        <f t="shared" si="0"/>
        <v>173632</v>
      </c>
      <c r="F8" s="68">
        <f t="shared" si="1"/>
        <v>14758.720000000001</v>
      </c>
      <c r="G8" s="68">
        <f t="shared" si="5"/>
        <v>0</v>
      </c>
      <c r="H8" s="68">
        <f t="shared" si="6"/>
        <v>0</v>
      </c>
      <c r="I8" s="68">
        <f t="shared" si="2"/>
        <v>31253.76</v>
      </c>
      <c r="J8" s="66">
        <f t="shared" si="3"/>
        <v>0</v>
      </c>
      <c r="K8" s="66">
        <f t="shared" si="4"/>
        <v>204885.76</v>
      </c>
    </row>
    <row r="9" spans="1:11" ht="12.75">
      <c r="A9" s="82" t="s">
        <v>820</v>
      </c>
      <c r="B9" s="68">
        <v>8</v>
      </c>
      <c r="C9" s="68"/>
      <c r="D9" s="68">
        <v>21704</v>
      </c>
      <c r="E9" s="68">
        <f t="shared" si="0"/>
        <v>173632</v>
      </c>
      <c r="F9" s="68">
        <f t="shared" si="1"/>
        <v>14758.720000000001</v>
      </c>
      <c r="G9" s="68">
        <f t="shared" si="5"/>
        <v>0</v>
      </c>
      <c r="H9" s="68">
        <f t="shared" si="6"/>
        <v>0</v>
      </c>
      <c r="I9" s="68">
        <f t="shared" si="2"/>
        <v>31253.76</v>
      </c>
      <c r="J9" s="66">
        <f t="shared" si="3"/>
        <v>0</v>
      </c>
      <c r="K9" s="66">
        <f t="shared" si="4"/>
        <v>204885.76</v>
      </c>
    </row>
    <row r="10" spans="1:11" ht="12.75">
      <c r="A10" s="82" t="s">
        <v>821</v>
      </c>
      <c r="B10" s="68">
        <v>7</v>
      </c>
      <c r="C10" s="68"/>
      <c r="D10" s="68">
        <v>21704</v>
      </c>
      <c r="E10" s="68">
        <f t="shared" si="0"/>
        <v>151928</v>
      </c>
      <c r="F10" s="68">
        <f t="shared" si="1"/>
        <v>12913.880000000001</v>
      </c>
      <c r="G10" s="68">
        <f t="shared" si="5"/>
        <v>0</v>
      </c>
      <c r="H10" s="68">
        <f t="shared" si="6"/>
        <v>0</v>
      </c>
      <c r="I10" s="68">
        <f t="shared" si="2"/>
        <v>27347.039999999997</v>
      </c>
      <c r="J10" s="66">
        <f t="shared" si="3"/>
        <v>0</v>
      </c>
      <c r="K10" s="66">
        <f t="shared" si="4"/>
        <v>179275.04</v>
      </c>
    </row>
    <row r="11" spans="1:11" ht="12.75">
      <c r="A11" s="82" t="s">
        <v>822</v>
      </c>
      <c r="B11" s="68">
        <v>7</v>
      </c>
      <c r="C11" s="68"/>
      <c r="D11" s="68">
        <v>21704</v>
      </c>
      <c r="E11" s="68">
        <f t="shared" si="0"/>
        <v>151928</v>
      </c>
      <c r="F11" s="68">
        <f t="shared" si="1"/>
        <v>12913.880000000001</v>
      </c>
      <c r="G11" s="68">
        <f t="shared" si="5"/>
        <v>0</v>
      </c>
      <c r="H11" s="68">
        <f t="shared" si="6"/>
        <v>0</v>
      </c>
      <c r="I11" s="68">
        <f t="shared" si="2"/>
        <v>27347.039999999997</v>
      </c>
      <c r="J11" s="66">
        <f t="shared" si="3"/>
        <v>0</v>
      </c>
      <c r="K11" s="66">
        <f t="shared" si="4"/>
        <v>179275.04</v>
      </c>
    </row>
    <row r="12" spans="1:11" ht="12.75">
      <c r="A12" s="82" t="s">
        <v>823</v>
      </c>
      <c r="B12" s="68">
        <v>7</v>
      </c>
      <c r="C12" s="68"/>
      <c r="D12" s="68">
        <v>21704</v>
      </c>
      <c r="E12" s="68">
        <f t="shared" si="0"/>
        <v>151928</v>
      </c>
      <c r="F12" s="68">
        <f t="shared" si="1"/>
        <v>12913.880000000001</v>
      </c>
      <c r="G12" s="68">
        <f t="shared" si="5"/>
        <v>0</v>
      </c>
      <c r="H12" s="68">
        <f t="shared" si="6"/>
        <v>0</v>
      </c>
      <c r="I12" s="68">
        <f t="shared" si="2"/>
        <v>27347.039999999997</v>
      </c>
      <c r="J12" s="66">
        <f t="shared" si="3"/>
        <v>0</v>
      </c>
      <c r="K12" s="66">
        <f t="shared" si="4"/>
        <v>179275.04</v>
      </c>
    </row>
    <row r="13" spans="1:11" ht="12.75">
      <c r="A13" s="82" t="s">
        <v>824</v>
      </c>
      <c r="B13" s="68">
        <v>7</v>
      </c>
      <c r="C13" s="68"/>
      <c r="D13" s="68">
        <v>21704</v>
      </c>
      <c r="E13" s="68">
        <f t="shared" si="0"/>
        <v>151928</v>
      </c>
      <c r="F13" s="68">
        <f t="shared" si="1"/>
        <v>12913.880000000001</v>
      </c>
      <c r="G13" s="68">
        <f t="shared" si="5"/>
        <v>0</v>
      </c>
      <c r="H13" s="68">
        <f t="shared" si="6"/>
        <v>0</v>
      </c>
      <c r="I13" s="68">
        <f t="shared" si="2"/>
        <v>27347.039999999997</v>
      </c>
      <c r="J13" s="66">
        <f t="shared" si="3"/>
        <v>0</v>
      </c>
      <c r="K13" s="66">
        <f t="shared" si="4"/>
        <v>179275.04</v>
      </c>
    </row>
    <row r="14" spans="1:11" ht="12.75">
      <c r="A14" s="82" t="s">
        <v>825</v>
      </c>
      <c r="B14" s="68">
        <v>7</v>
      </c>
      <c r="C14" s="68"/>
      <c r="D14" s="68">
        <v>21704</v>
      </c>
      <c r="E14" s="68">
        <f t="shared" si="0"/>
        <v>151928</v>
      </c>
      <c r="F14" s="68">
        <f t="shared" si="1"/>
        <v>12913.880000000001</v>
      </c>
      <c r="G14" s="68">
        <f t="shared" si="5"/>
        <v>0</v>
      </c>
      <c r="H14" s="68">
        <f t="shared" si="6"/>
        <v>0</v>
      </c>
      <c r="I14" s="68">
        <f t="shared" si="2"/>
        <v>27347.039999999997</v>
      </c>
      <c r="J14" s="66">
        <f t="shared" si="3"/>
        <v>0</v>
      </c>
      <c r="K14" s="66">
        <f t="shared" si="4"/>
        <v>179275.04</v>
      </c>
    </row>
    <row r="15" spans="1:11" ht="12.75">
      <c r="A15" s="82" t="s">
        <v>709</v>
      </c>
      <c r="B15" s="68">
        <f>SUM(B3:B14)</f>
        <v>85</v>
      </c>
      <c r="C15" s="68">
        <f>SUM(C3:C14)</f>
        <v>10</v>
      </c>
      <c r="D15" s="68"/>
      <c r="E15" s="68">
        <f aca="true" t="shared" si="7" ref="E15:K15">SUM(E3:E14)</f>
        <v>1841960</v>
      </c>
      <c r="F15" s="68">
        <f t="shared" si="7"/>
        <v>156566.60000000003</v>
      </c>
      <c r="G15" s="68">
        <f t="shared" si="7"/>
        <v>7155</v>
      </c>
      <c r="H15" s="68">
        <f t="shared" si="7"/>
        <v>608</v>
      </c>
      <c r="I15" s="68">
        <f t="shared" si="7"/>
        <v>331552.8</v>
      </c>
      <c r="J15" s="66">
        <f t="shared" si="7"/>
        <v>1287.8999999999999</v>
      </c>
      <c r="K15" s="66">
        <f t="shared" si="7"/>
        <v>2181955.7</v>
      </c>
    </row>
    <row r="16" spans="1:11" ht="12.75">
      <c r="A16" s="82"/>
      <c r="B16" s="82"/>
      <c r="C16" s="82"/>
      <c r="D16" s="82"/>
      <c r="E16" s="82"/>
      <c r="F16" s="68"/>
      <c r="G16" s="82"/>
      <c r="H16" s="82"/>
      <c r="I16" s="102"/>
      <c r="J16" s="104"/>
      <c r="K16" s="104"/>
    </row>
    <row r="17" spans="1:11" ht="12.75">
      <c r="A17" s="82" t="s">
        <v>827</v>
      </c>
      <c r="B17" s="69">
        <f>B15/12</f>
        <v>7.083333333333333</v>
      </c>
      <c r="C17" s="69">
        <f>C15/365</f>
        <v>0.0273972602739726</v>
      </c>
      <c r="D17" s="82"/>
      <c r="E17" s="82"/>
      <c r="F17" s="68"/>
      <c r="G17" s="82"/>
      <c r="H17" s="82"/>
      <c r="I17" s="102"/>
      <c r="J17" s="104"/>
      <c r="K17" s="104"/>
    </row>
    <row r="18" spans="1:11" ht="25.5">
      <c r="A18" s="71" t="s">
        <v>828</v>
      </c>
      <c r="B18" s="69">
        <f>B17+C17</f>
        <v>7.110730593607306</v>
      </c>
      <c r="C18" s="82"/>
      <c r="D18" s="82"/>
      <c r="E18" s="82"/>
      <c r="F18" s="68"/>
      <c r="G18" s="82"/>
      <c r="H18" s="82"/>
      <c r="I18" s="102"/>
      <c r="J18" s="104"/>
      <c r="K18" s="104"/>
    </row>
    <row r="19" spans="1:11" ht="12.75">
      <c r="A19" s="82"/>
      <c r="B19" s="82"/>
      <c r="C19" s="82"/>
      <c r="D19" s="82"/>
      <c r="E19" s="82"/>
      <c r="F19" s="68"/>
      <c r="G19" s="82"/>
      <c r="H19" s="82"/>
      <c r="I19" s="102"/>
      <c r="J19" s="104"/>
      <c r="K19" s="104"/>
    </row>
    <row r="20" spans="1:11" ht="12.75">
      <c r="A20" s="82" t="s">
        <v>829</v>
      </c>
      <c r="B20" s="68">
        <v>4</v>
      </c>
      <c r="C20" s="68"/>
      <c r="D20" s="68"/>
      <c r="E20" s="68"/>
      <c r="F20" s="68"/>
      <c r="G20" s="68"/>
      <c r="H20" s="68"/>
      <c r="I20" s="68"/>
      <c r="J20" s="66"/>
      <c r="K20" s="66"/>
    </row>
    <row r="21" spans="1:11" ht="12.75">
      <c r="A21" s="82"/>
      <c r="B21" s="82"/>
      <c r="C21" s="82"/>
      <c r="D21" s="82"/>
      <c r="E21" s="102"/>
      <c r="F21" s="68"/>
      <c r="G21" s="82"/>
      <c r="H21" s="82"/>
      <c r="I21" s="102"/>
      <c r="J21" s="104"/>
      <c r="K21" s="105"/>
    </row>
    <row r="22" spans="1:11" s="112" customFormat="1" ht="12.75">
      <c r="A22" s="109" t="s">
        <v>835</v>
      </c>
      <c r="B22" s="109"/>
      <c r="C22" s="109"/>
      <c r="D22" s="109"/>
      <c r="E22" s="113">
        <v>139516</v>
      </c>
      <c r="F22" s="110"/>
      <c r="G22" s="109"/>
      <c r="H22" s="109"/>
      <c r="I22" s="68">
        <f>E22*18%</f>
        <v>25112.879999999997</v>
      </c>
      <c r="J22" s="66">
        <f>G22*18%</f>
        <v>0</v>
      </c>
      <c r="K22" s="111"/>
    </row>
    <row r="23" spans="1:11" ht="12.75">
      <c r="A23" s="82"/>
      <c r="B23" s="82"/>
      <c r="C23" s="82"/>
      <c r="D23" s="82"/>
      <c r="E23" s="82"/>
      <c r="F23" s="68"/>
      <c r="G23" s="82"/>
      <c r="H23" s="82"/>
      <c r="I23" s="82"/>
      <c r="J23" s="104"/>
      <c r="K23" s="104"/>
    </row>
    <row r="24" spans="1:11" ht="12.75">
      <c r="A24" s="84"/>
      <c r="B24" s="84"/>
      <c r="C24" s="84"/>
      <c r="D24" s="84"/>
      <c r="E24" s="84"/>
      <c r="F24" s="70"/>
      <c r="G24" s="84"/>
      <c r="H24" s="84"/>
      <c r="I24" s="84"/>
      <c r="J24" s="106"/>
      <c r="K24" s="106"/>
    </row>
  </sheetData>
  <printOptions horizontalCentered="1"/>
  <pageMargins left="0.7874015748031497" right="0.7874015748031497" top="1.2598425196850394" bottom="0.6692913385826772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MÉLTÁNYOSSÁGI ÁPOLÁSÍ DÍJAK KIFIZETÉSÉRŐL&amp;R&amp;"Arial,Dőlt"&amp;8 6.számú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4">
      <selection activeCell="F23" sqref="F23"/>
    </sheetView>
  </sheetViews>
  <sheetFormatPr defaultColWidth="9.00390625" defaultRowHeight="12.75"/>
  <cols>
    <col min="1" max="1" width="17.625" style="87" bestFit="1" customWidth="1"/>
    <col min="2" max="2" width="9.375" style="87" customWidth="1"/>
    <col min="3" max="3" width="7.875" style="87" customWidth="1"/>
    <col min="4" max="4" width="10.375" style="87" bestFit="1" customWidth="1"/>
    <col min="5" max="6" width="6.875" style="87" customWidth="1"/>
    <col min="7" max="7" width="9.375" style="87" customWidth="1"/>
    <col min="8" max="8" width="8.125" style="87" customWidth="1"/>
    <col min="9" max="9" width="12.875" style="87" customWidth="1"/>
    <col min="10" max="10" width="8.75390625" style="87" customWidth="1"/>
    <col min="11" max="11" width="11.375" style="87" customWidth="1"/>
    <col min="12" max="12" width="10.25390625" style="87" customWidth="1"/>
    <col min="13" max="13" width="12.375" style="87" customWidth="1"/>
    <col min="14" max="14" width="11.625" style="87" customWidth="1"/>
    <col min="15" max="16384" width="9.125" style="87" customWidth="1"/>
  </cols>
  <sheetData>
    <row r="1" spans="1:13" ht="12.75" customHeight="1">
      <c r="A1" s="324" t="s">
        <v>93</v>
      </c>
      <c r="B1" s="365" t="s">
        <v>717</v>
      </c>
      <c r="C1" s="366"/>
      <c r="D1" s="366"/>
      <c r="E1" s="366"/>
      <c r="F1" s="367"/>
      <c r="G1" s="371" t="s">
        <v>94</v>
      </c>
      <c r="H1" s="372"/>
      <c r="I1" s="372"/>
      <c r="J1" s="372"/>
      <c r="K1" s="372"/>
      <c r="L1" s="373"/>
      <c r="M1" s="378" t="s">
        <v>95</v>
      </c>
    </row>
    <row r="2" spans="1:13" ht="10.5" customHeight="1">
      <c r="A2" s="325"/>
      <c r="B2" s="368"/>
      <c r="C2" s="369"/>
      <c r="D2" s="369"/>
      <c r="E2" s="369"/>
      <c r="F2" s="370"/>
      <c r="G2" s="374"/>
      <c r="H2" s="375"/>
      <c r="I2" s="375"/>
      <c r="J2" s="375"/>
      <c r="K2" s="375"/>
      <c r="L2" s="376"/>
      <c r="M2" s="360"/>
    </row>
    <row r="3" spans="1:13" ht="62.25" customHeight="1">
      <c r="A3" s="325"/>
      <c r="B3" s="377" t="s">
        <v>96</v>
      </c>
      <c r="C3" s="377" t="s">
        <v>97</v>
      </c>
      <c r="D3" s="378" t="s">
        <v>98</v>
      </c>
      <c r="E3" s="377" t="s">
        <v>99</v>
      </c>
      <c r="F3" s="379" t="s">
        <v>100</v>
      </c>
      <c r="G3" s="377" t="s">
        <v>96</v>
      </c>
      <c r="H3" s="377" t="s">
        <v>101</v>
      </c>
      <c r="I3" s="377" t="s">
        <v>98</v>
      </c>
      <c r="J3" s="377" t="s">
        <v>99</v>
      </c>
      <c r="K3" s="378" t="s">
        <v>1088</v>
      </c>
      <c r="L3" s="379" t="s">
        <v>100</v>
      </c>
      <c r="M3" s="360"/>
    </row>
    <row r="4" spans="1:13" ht="47.25" customHeight="1" thickBot="1">
      <c r="A4" s="326"/>
      <c r="B4" s="326"/>
      <c r="C4" s="326"/>
      <c r="D4" s="361"/>
      <c r="E4" s="326"/>
      <c r="F4" s="380"/>
      <c r="G4" s="326"/>
      <c r="H4" s="326"/>
      <c r="I4" s="326"/>
      <c r="J4" s="326"/>
      <c r="K4" s="381"/>
      <c r="L4" s="380"/>
      <c r="M4" s="361"/>
    </row>
    <row r="5" spans="1:13" ht="12.75" thickTop="1">
      <c r="A5" s="41"/>
      <c r="B5" s="41"/>
      <c r="C5" s="41"/>
      <c r="D5" s="41"/>
      <c r="E5" s="42"/>
      <c r="F5" s="42"/>
      <c r="G5" s="41"/>
      <c r="H5" s="41"/>
      <c r="I5" s="41"/>
      <c r="J5" s="42"/>
      <c r="K5" s="42"/>
      <c r="L5" s="42"/>
      <c r="M5" s="41"/>
    </row>
    <row r="6" spans="1:13" ht="12">
      <c r="A6" s="41" t="s">
        <v>25</v>
      </c>
      <c r="B6" s="5">
        <v>6064</v>
      </c>
      <c r="C6" s="5">
        <v>1</v>
      </c>
      <c r="D6" s="5">
        <v>6064</v>
      </c>
      <c r="E6" s="44">
        <v>0</v>
      </c>
      <c r="F6" s="44">
        <f aca="true" t="shared" si="0" ref="F6:F17">B6/300*E6</f>
        <v>0</v>
      </c>
      <c r="G6" s="5">
        <v>18060</v>
      </c>
      <c r="H6" s="5">
        <v>30</v>
      </c>
      <c r="I6" s="5">
        <v>790956</v>
      </c>
      <c r="J6" s="44"/>
      <c r="K6" s="44"/>
      <c r="L6" s="44">
        <f aca="true" t="shared" si="1" ref="L6:L17">G6/30*J6</f>
        <v>0</v>
      </c>
      <c r="M6" s="5">
        <f aca="true" t="shared" si="2" ref="M6:M17">D6+F6+I6+L6</f>
        <v>797020</v>
      </c>
    </row>
    <row r="7" spans="1:13" ht="12">
      <c r="A7" s="41" t="s">
        <v>26</v>
      </c>
      <c r="B7" s="5">
        <v>6064</v>
      </c>
      <c r="C7" s="5">
        <v>1</v>
      </c>
      <c r="D7" s="5">
        <v>6064</v>
      </c>
      <c r="E7" s="44"/>
      <c r="F7" s="44">
        <f t="shared" si="0"/>
        <v>0</v>
      </c>
      <c r="G7" s="5">
        <v>18060</v>
      </c>
      <c r="H7" s="5">
        <v>40</v>
      </c>
      <c r="I7" s="5">
        <v>980163</v>
      </c>
      <c r="J7" s="44"/>
      <c r="K7" s="44"/>
      <c r="L7" s="44">
        <f t="shared" si="1"/>
        <v>0</v>
      </c>
      <c r="M7" s="5">
        <f t="shared" si="2"/>
        <v>986227</v>
      </c>
    </row>
    <row r="8" spans="1:13" ht="12">
      <c r="A8" s="41" t="s">
        <v>27</v>
      </c>
      <c r="B8" s="5">
        <v>6064</v>
      </c>
      <c r="C8" s="5">
        <v>1</v>
      </c>
      <c r="D8" s="5">
        <v>6064</v>
      </c>
      <c r="E8" s="44"/>
      <c r="F8" s="44">
        <f t="shared" si="0"/>
        <v>0</v>
      </c>
      <c r="G8" s="5">
        <v>18060</v>
      </c>
      <c r="H8" s="5">
        <v>40</v>
      </c>
      <c r="I8" s="5">
        <v>1113390</v>
      </c>
      <c r="J8" s="44"/>
      <c r="K8" s="44"/>
      <c r="L8" s="44">
        <f t="shared" si="1"/>
        <v>0</v>
      </c>
      <c r="M8" s="5">
        <f t="shared" si="2"/>
        <v>1119454</v>
      </c>
    </row>
    <row r="9" spans="1:13" ht="12">
      <c r="A9" s="41" t="s">
        <v>28</v>
      </c>
      <c r="B9" s="5">
        <v>6064</v>
      </c>
      <c r="C9" s="5">
        <v>1</v>
      </c>
      <c r="D9" s="5">
        <v>6064</v>
      </c>
      <c r="E9" s="44"/>
      <c r="F9" s="44">
        <f t="shared" si="0"/>
        <v>0</v>
      </c>
      <c r="G9" s="5">
        <v>18060</v>
      </c>
      <c r="H9" s="5">
        <v>38</v>
      </c>
      <c r="I9" s="5">
        <v>1038594</v>
      </c>
      <c r="J9" s="44"/>
      <c r="K9" s="44"/>
      <c r="L9" s="44">
        <f t="shared" si="1"/>
        <v>0</v>
      </c>
      <c r="M9" s="5">
        <f t="shared" si="2"/>
        <v>1044658</v>
      </c>
    </row>
    <row r="10" spans="1:13" ht="12">
      <c r="A10" s="41" t="s">
        <v>29</v>
      </c>
      <c r="B10" s="5">
        <v>6064</v>
      </c>
      <c r="C10" s="5">
        <v>1</v>
      </c>
      <c r="D10" s="5">
        <v>6064</v>
      </c>
      <c r="E10" s="44"/>
      <c r="F10" s="44">
        <f t="shared" si="0"/>
        <v>0</v>
      </c>
      <c r="G10" s="5">
        <v>18060</v>
      </c>
      <c r="H10" s="5">
        <v>39</v>
      </c>
      <c r="I10" s="5">
        <v>1012392</v>
      </c>
      <c r="J10" s="44"/>
      <c r="K10" s="44"/>
      <c r="L10" s="44">
        <f t="shared" si="1"/>
        <v>0</v>
      </c>
      <c r="M10" s="5">
        <f t="shared" si="2"/>
        <v>1018456</v>
      </c>
    </row>
    <row r="11" spans="1:13" ht="12">
      <c r="A11" s="41" t="s">
        <v>30</v>
      </c>
      <c r="B11" s="5">
        <v>6064</v>
      </c>
      <c r="C11" s="5">
        <v>1</v>
      </c>
      <c r="D11" s="5">
        <v>6064</v>
      </c>
      <c r="E11" s="44"/>
      <c r="F11" s="44">
        <f t="shared" si="0"/>
        <v>0</v>
      </c>
      <c r="G11" s="5">
        <v>18060</v>
      </c>
      <c r="H11" s="5">
        <v>39</v>
      </c>
      <c r="I11" s="5">
        <v>1030647</v>
      </c>
      <c r="J11" s="44"/>
      <c r="K11" s="44"/>
      <c r="L11" s="44">
        <f t="shared" si="1"/>
        <v>0</v>
      </c>
      <c r="M11" s="5">
        <f t="shared" si="2"/>
        <v>1036711</v>
      </c>
    </row>
    <row r="12" spans="1:13" ht="12">
      <c r="A12" s="41" t="s">
        <v>31</v>
      </c>
      <c r="B12" s="5">
        <v>6064</v>
      </c>
      <c r="C12" s="5">
        <v>1</v>
      </c>
      <c r="D12" s="5">
        <f aca="true" t="shared" si="3" ref="D12:D17">C12*B12</f>
        <v>6064</v>
      </c>
      <c r="E12" s="44"/>
      <c r="F12" s="44">
        <f t="shared" si="0"/>
        <v>0</v>
      </c>
      <c r="G12" s="5"/>
      <c r="H12" s="5">
        <v>26</v>
      </c>
      <c r="I12" s="5">
        <v>593279</v>
      </c>
      <c r="J12" s="44"/>
      <c r="K12" s="44">
        <f aca="true" t="shared" si="4" ref="K12:K17">I12/H12</f>
        <v>22818.423076923078</v>
      </c>
      <c r="L12" s="44">
        <f t="shared" si="1"/>
        <v>0</v>
      </c>
      <c r="M12" s="5">
        <f t="shared" si="2"/>
        <v>599343</v>
      </c>
    </row>
    <row r="13" spans="1:13" ht="12">
      <c r="A13" s="41" t="s">
        <v>32</v>
      </c>
      <c r="B13" s="5"/>
      <c r="C13" s="5"/>
      <c r="D13" s="5">
        <f t="shared" si="3"/>
        <v>0</v>
      </c>
      <c r="E13" s="44"/>
      <c r="F13" s="44">
        <f t="shared" si="0"/>
        <v>0</v>
      </c>
      <c r="G13" s="5"/>
      <c r="H13" s="5">
        <v>40</v>
      </c>
      <c r="I13" s="5">
        <v>735619</v>
      </c>
      <c r="J13" s="44"/>
      <c r="K13" s="44">
        <f t="shared" si="4"/>
        <v>18390.475</v>
      </c>
      <c r="L13" s="44">
        <f t="shared" si="1"/>
        <v>0</v>
      </c>
      <c r="M13" s="5">
        <f t="shared" si="2"/>
        <v>735619</v>
      </c>
    </row>
    <row r="14" spans="1:13" ht="12">
      <c r="A14" s="41" t="s">
        <v>33</v>
      </c>
      <c r="B14" s="5"/>
      <c r="C14" s="5"/>
      <c r="D14" s="5">
        <f t="shared" si="3"/>
        <v>0</v>
      </c>
      <c r="E14" s="44"/>
      <c r="F14" s="44">
        <f t="shared" si="0"/>
        <v>0</v>
      </c>
      <c r="G14" s="5"/>
      <c r="H14" s="5">
        <v>48</v>
      </c>
      <c r="I14" s="5">
        <v>891160</v>
      </c>
      <c r="J14" s="44"/>
      <c r="K14" s="44">
        <f t="shared" si="4"/>
        <v>18565.833333333332</v>
      </c>
      <c r="L14" s="44">
        <f t="shared" si="1"/>
        <v>0</v>
      </c>
      <c r="M14" s="5">
        <f t="shared" si="2"/>
        <v>891160</v>
      </c>
    </row>
    <row r="15" spans="1:13" ht="12">
      <c r="A15" s="41" t="s">
        <v>34</v>
      </c>
      <c r="B15" s="5"/>
      <c r="C15" s="5"/>
      <c r="D15" s="5">
        <f t="shared" si="3"/>
        <v>0</v>
      </c>
      <c r="E15" s="44"/>
      <c r="F15" s="44">
        <f t="shared" si="0"/>
        <v>0</v>
      </c>
      <c r="G15" s="5"/>
      <c r="H15" s="5">
        <v>42</v>
      </c>
      <c r="I15" s="5">
        <v>1055686</v>
      </c>
      <c r="J15" s="44"/>
      <c r="K15" s="44">
        <f t="shared" si="4"/>
        <v>25135.380952380954</v>
      </c>
      <c r="L15" s="44">
        <f t="shared" si="1"/>
        <v>0</v>
      </c>
      <c r="M15" s="5">
        <f t="shared" si="2"/>
        <v>1055686</v>
      </c>
    </row>
    <row r="16" spans="1:13" ht="12">
      <c r="A16" s="41" t="s">
        <v>35</v>
      </c>
      <c r="B16" s="5"/>
      <c r="C16" s="5"/>
      <c r="D16" s="5">
        <f t="shared" si="3"/>
        <v>0</v>
      </c>
      <c r="E16" s="44"/>
      <c r="F16" s="44">
        <f t="shared" si="0"/>
        <v>0</v>
      </c>
      <c r="G16" s="5"/>
      <c r="H16" s="5">
        <v>38</v>
      </c>
      <c r="I16" s="5">
        <v>989886</v>
      </c>
      <c r="J16" s="44"/>
      <c r="K16" s="44">
        <f t="shared" si="4"/>
        <v>26049.63157894737</v>
      </c>
      <c r="L16" s="44">
        <f t="shared" si="1"/>
        <v>0</v>
      </c>
      <c r="M16" s="5">
        <f t="shared" si="2"/>
        <v>989886</v>
      </c>
    </row>
    <row r="17" spans="1:13" ht="12">
      <c r="A17" s="41" t="s">
        <v>36</v>
      </c>
      <c r="B17" s="5"/>
      <c r="C17" s="5"/>
      <c r="D17" s="5">
        <f t="shared" si="3"/>
        <v>0</v>
      </c>
      <c r="E17" s="44"/>
      <c r="F17" s="44">
        <f t="shared" si="0"/>
        <v>0</v>
      </c>
      <c r="G17" s="5"/>
      <c r="H17" s="5">
        <v>37</v>
      </c>
      <c r="I17" s="5">
        <v>963989</v>
      </c>
      <c r="J17" s="44"/>
      <c r="K17" s="44">
        <f t="shared" si="4"/>
        <v>26053.756756756757</v>
      </c>
      <c r="L17" s="44">
        <f t="shared" si="1"/>
        <v>0</v>
      </c>
      <c r="M17" s="5">
        <f t="shared" si="2"/>
        <v>963989</v>
      </c>
    </row>
    <row r="18" spans="1:14" ht="12">
      <c r="A18" s="88" t="s">
        <v>710</v>
      </c>
      <c r="B18" s="5"/>
      <c r="C18" s="5">
        <f>SUM(C6:C17)</f>
        <v>7</v>
      </c>
      <c r="D18" s="5">
        <f>SUM(D6:D17)</f>
        <v>42448</v>
      </c>
      <c r="E18" s="5">
        <f>SUM(E6:E17)</f>
        <v>0</v>
      </c>
      <c r="F18" s="5">
        <f>SUM(F6:F17)</f>
        <v>0</v>
      </c>
      <c r="G18" s="5"/>
      <c r="H18" s="5">
        <f>SUM(H6:H17)</f>
        <v>457</v>
      </c>
      <c r="I18" s="5">
        <f>SUM(I6:I17)</f>
        <v>11195761</v>
      </c>
      <c r="J18" s="5">
        <f>SUM(J6:J17)</f>
        <v>0</v>
      </c>
      <c r="K18" s="5">
        <f>SUM(K12:K17)</f>
        <v>137013.5006983415</v>
      </c>
      <c r="L18" s="5">
        <f>SUM(L6:L17)</f>
        <v>0</v>
      </c>
      <c r="M18" s="5">
        <f>SUM(M6:M17)</f>
        <v>11238209</v>
      </c>
      <c r="N18" s="89"/>
    </row>
    <row r="19" spans="1:13" ht="12">
      <c r="A19" s="41"/>
      <c r="B19" s="5"/>
      <c r="C19" s="5"/>
      <c r="D19" s="5"/>
      <c r="E19" s="44"/>
      <c r="F19" s="44"/>
      <c r="G19" s="5"/>
      <c r="H19" s="5"/>
      <c r="I19" s="5"/>
      <c r="J19" s="44"/>
      <c r="K19" s="44"/>
      <c r="L19" s="44"/>
      <c r="M19" s="5"/>
    </row>
    <row r="20" spans="1:13" ht="12">
      <c r="A20" s="41" t="s">
        <v>102</v>
      </c>
      <c r="B20" s="5"/>
      <c r="C20" s="90">
        <f>C18/12+(E18/365)</f>
        <v>0.5833333333333334</v>
      </c>
      <c r="D20" s="5"/>
      <c r="E20" s="44">
        <f>E18/365</f>
        <v>0</v>
      </c>
      <c r="F20" s="44"/>
      <c r="G20" s="5"/>
      <c r="H20" s="45">
        <f>H18/12</f>
        <v>38.083333333333336</v>
      </c>
      <c r="I20" s="5"/>
      <c r="J20" s="91">
        <f>J18/365</f>
        <v>0</v>
      </c>
      <c r="K20" s="91"/>
      <c r="L20" s="44"/>
      <c r="M20" s="5"/>
    </row>
    <row r="21" spans="1:13" ht="12">
      <c r="A21" s="41"/>
      <c r="B21" s="5"/>
      <c r="C21" s="5"/>
      <c r="D21" s="5"/>
      <c r="E21" s="44"/>
      <c r="F21" s="44"/>
      <c r="G21" s="5"/>
      <c r="H21" s="5"/>
      <c r="I21" s="5"/>
      <c r="J21" s="44"/>
      <c r="K21" s="44"/>
      <c r="L21" s="44"/>
      <c r="M21" s="5"/>
    </row>
    <row r="22" spans="1:13" ht="12">
      <c r="A22" s="41" t="s">
        <v>1088</v>
      </c>
      <c r="B22" s="5"/>
      <c r="C22" s="45">
        <f>C20+E20</f>
        <v>0.5833333333333334</v>
      </c>
      <c r="D22" s="5">
        <f>D18/C18</f>
        <v>6064</v>
      </c>
      <c r="E22" s="44"/>
      <c r="F22" s="44"/>
      <c r="G22" s="5"/>
      <c r="H22" s="90"/>
      <c r="I22" s="5">
        <f>I18/H18+2</f>
        <v>24500.382932166303</v>
      </c>
      <c r="J22" s="44"/>
      <c r="K22" s="44">
        <f>K18/6</f>
        <v>22835.58344972358</v>
      </c>
      <c r="L22" s="44"/>
      <c r="M22" s="5"/>
    </row>
    <row r="23" spans="1:13" ht="12">
      <c r="A23" s="41"/>
      <c r="B23" s="5"/>
      <c r="C23" s="5"/>
      <c r="D23" s="5"/>
      <c r="E23" s="44"/>
      <c r="F23" s="44"/>
      <c r="G23" s="5"/>
      <c r="H23" s="5"/>
      <c r="I23" s="5"/>
      <c r="J23" s="44"/>
      <c r="K23" s="44"/>
      <c r="L23" s="44"/>
      <c r="M23" s="5"/>
    </row>
    <row r="24" spans="1:13" ht="12">
      <c r="A24" s="41" t="s">
        <v>103</v>
      </c>
      <c r="B24" s="5"/>
      <c r="C24" s="5">
        <v>1</v>
      </c>
      <c r="D24" s="5"/>
      <c r="E24" s="44"/>
      <c r="F24" s="44"/>
      <c r="G24" s="5"/>
      <c r="H24" s="5">
        <v>39</v>
      </c>
      <c r="I24" s="5"/>
      <c r="J24" s="44"/>
      <c r="K24" s="44"/>
      <c r="L24" s="44"/>
      <c r="M24" s="5"/>
    </row>
    <row r="25" spans="1:13" ht="12">
      <c r="A25" s="41"/>
      <c r="B25" s="5"/>
      <c r="C25" s="5"/>
      <c r="D25" s="5"/>
      <c r="E25" s="44"/>
      <c r="F25" s="44"/>
      <c r="G25" s="5"/>
      <c r="H25" s="5"/>
      <c r="I25" s="5"/>
      <c r="J25" s="44"/>
      <c r="K25" s="44"/>
      <c r="L25" s="44"/>
      <c r="M25" s="5"/>
    </row>
    <row r="26" spans="1:13" ht="12">
      <c r="A26" s="88" t="s">
        <v>1344</v>
      </c>
      <c r="B26" s="5"/>
      <c r="C26" s="5"/>
      <c r="D26" s="5">
        <v>18560</v>
      </c>
      <c r="E26" s="44"/>
      <c r="F26" s="44"/>
      <c r="G26" s="92"/>
      <c r="H26" s="5"/>
      <c r="I26" s="5">
        <v>989886</v>
      </c>
      <c r="J26" s="44"/>
      <c r="K26" s="44"/>
      <c r="L26" s="44">
        <v>541</v>
      </c>
      <c r="M26" s="92"/>
    </row>
    <row r="27" spans="1:13" ht="12">
      <c r="A27" s="93"/>
      <c r="B27" s="5"/>
      <c r="C27" s="5"/>
      <c r="D27" s="5"/>
      <c r="E27" s="44"/>
      <c r="F27" s="44"/>
      <c r="G27" s="5"/>
      <c r="H27" s="5"/>
      <c r="I27" s="5"/>
      <c r="J27" s="44"/>
      <c r="K27" s="44"/>
      <c r="L27" s="44"/>
      <c r="M27" s="94"/>
    </row>
    <row r="28" spans="1:13" ht="12">
      <c r="A28" s="49"/>
      <c r="B28" s="49"/>
      <c r="C28" s="49"/>
      <c r="D28" s="49"/>
      <c r="E28" s="52"/>
      <c r="F28" s="52"/>
      <c r="G28" s="49"/>
      <c r="H28" s="49"/>
      <c r="I28" s="49"/>
      <c r="J28" s="52"/>
      <c r="K28" s="52"/>
      <c r="L28" s="52"/>
      <c r="M28" s="49"/>
    </row>
  </sheetData>
  <mergeCells count="15">
    <mergeCell ref="M1:M4"/>
    <mergeCell ref="J3:J4"/>
    <mergeCell ref="L3:L4"/>
    <mergeCell ref="F3:F4"/>
    <mergeCell ref="G3:G4"/>
    <mergeCell ref="H3:H4"/>
    <mergeCell ref="I3:I4"/>
    <mergeCell ref="K3:K4"/>
    <mergeCell ref="A1:A4"/>
    <mergeCell ref="B1:F2"/>
    <mergeCell ref="G1:L2"/>
    <mergeCell ref="B3:B4"/>
    <mergeCell ref="C3:C4"/>
    <mergeCell ref="D3:D4"/>
    <mergeCell ref="E3:E4"/>
  </mergeCells>
  <printOptions horizontalCentered="1"/>
  <pageMargins left="0.25" right="0.7874015748031497" top="1.299212598425197" bottom="0.7086614173228347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SZOCIÁLIS SEGÉLY KIFIZETÉSÉRŐL&amp;R&amp;"Arial,Dőlt"&amp;9 4.számú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17" sqref="E17"/>
    </sheetView>
  </sheetViews>
  <sheetFormatPr defaultColWidth="9.00390625" defaultRowHeight="12.75"/>
  <cols>
    <col min="1" max="1" width="15.875" style="98" bestFit="1" customWidth="1"/>
    <col min="2" max="2" width="8.25390625" style="98" customWidth="1"/>
    <col min="3" max="3" width="8.00390625" style="98" bestFit="1" customWidth="1"/>
    <col min="4" max="4" width="10.00390625" style="98" customWidth="1"/>
    <col min="5" max="6" width="12.625" style="98" bestFit="1" customWidth="1"/>
    <col min="7" max="7" width="11.00390625" style="98" bestFit="1" customWidth="1"/>
    <col min="8" max="8" width="11.25390625" style="98" customWidth="1"/>
    <col min="9" max="9" width="12.625" style="98" bestFit="1" customWidth="1"/>
    <col min="10" max="10" width="9.375" style="98" customWidth="1"/>
    <col min="11" max="16384" width="9.125" style="98" customWidth="1"/>
  </cols>
  <sheetData>
    <row r="1" spans="1:9" ht="121.5" customHeight="1" thickBot="1">
      <c r="A1" s="95" t="s">
        <v>104</v>
      </c>
      <c r="B1" s="96" t="s">
        <v>105</v>
      </c>
      <c r="C1" s="96" t="s">
        <v>1352</v>
      </c>
      <c r="D1" s="96" t="s">
        <v>107</v>
      </c>
      <c r="E1" s="96" t="s">
        <v>108</v>
      </c>
      <c r="F1" s="96" t="s">
        <v>1353</v>
      </c>
      <c r="G1" s="96" t="s">
        <v>811</v>
      </c>
      <c r="H1" s="97" t="s">
        <v>1354</v>
      </c>
      <c r="I1" s="95" t="s">
        <v>813</v>
      </c>
    </row>
    <row r="2" spans="1:9" ht="13.5" thickTop="1">
      <c r="A2" s="85"/>
      <c r="B2" s="85"/>
      <c r="C2" s="85"/>
      <c r="D2" s="85"/>
      <c r="E2" s="99"/>
      <c r="F2" s="85"/>
      <c r="G2" s="100"/>
      <c r="H2" s="101"/>
      <c r="I2" s="82"/>
    </row>
    <row r="3" spans="1:9" ht="12.75">
      <c r="A3" s="82" t="s">
        <v>814</v>
      </c>
      <c r="B3" s="68">
        <v>1</v>
      </c>
      <c r="C3" s="68">
        <v>4</v>
      </c>
      <c r="D3" s="68">
        <v>25800</v>
      </c>
      <c r="E3" s="68">
        <f aca="true" t="shared" si="0" ref="E3:E14">D3*B3</f>
        <v>25800</v>
      </c>
      <c r="F3" s="68">
        <f>D3*C3</f>
        <v>103200</v>
      </c>
      <c r="G3" s="68">
        <f aca="true" t="shared" si="1" ref="G3:G14">E3*18%</f>
        <v>4644</v>
      </c>
      <c r="H3" s="66">
        <f aca="true" t="shared" si="2" ref="H3:H14">F3*18%</f>
        <v>18576</v>
      </c>
      <c r="I3" s="102">
        <f aca="true" t="shared" si="3" ref="I3:I14">E3+F3+G3+H3</f>
        <v>152220</v>
      </c>
    </row>
    <row r="4" spans="1:9" ht="12.75">
      <c r="A4" s="82" t="s">
        <v>815</v>
      </c>
      <c r="B4" s="68">
        <v>1</v>
      </c>
      <c r="C4" s="68">
        <v>4</v>
      </c>
      <c r="D4" s="68">
        <v>26830</v>
      </c>
      <c r="E4" s="68">
        <f t="shared" si="0"/>
        <v>26830</v>
      </c>
      <c r="F4" s="68">
        <f aca="true" t="shared" si="4" ref="F4:F14">D4*C4</f>
        <v>107320</v>
      </c>
      <c r="G4" s="68">
        <f t="shared" si="1"/>
        <v>4829.4</v>
      </c>
      <c r="H4" s="66">
        <f t="shared" si="2"/>
        <v>19317.6</v>
      </c>
      <c r="I4" s="102">
        <f t="shared" si="3"/>
        <v>158297</v>
      </c>
    </row>
    <row r="5" spans="1:9" ht="12.75">
      <c r="A5" s="82" t="s">
        <v>816</v>
      </c>
      <c r="B5" s="68">
        <v>1</v>
      </c>
      <c r="C5" s="68">
        <v>4</v>
      </c>
      <c r="D5" s="68">
        <v>26980</v>
      </c>
      <c r="E5" s="68">
        <f t="shared" si="0"/>
        <v>26980</v>
      </c>
      <c r="F5" s="68">
        <f t="shared" si="4"/>
        <v>107920</v>
      </c>
      <c r="G5" s="68">
        <f t="shared" si="1"/>
        <v>4856.4</v>
      </c>
      <c r="H5" s="66">
        <f t="shared" si="2"/>
        <v>19425.6</v>
      </c>
      <c r="I5" s="102">
        <f t="shared" si="3"/>
        <v>159182</v>
      </c>
    </row>
    <row r="6" spans="1:9" ht="12.75">
      <c r="A6" s="82" t="s">
        <v>817</v>
      </c>
      <c r="B6" s="68">
        <v>1</v>
      </c>
      <c r="C6" s="68">
        <v>4</v>
      </c>
      <c r="D6" s="68">
        <v>27130</v>
      </c>
      <c r="E6" s="68">
        <f t="shared" si="0"/>
        <v>27130</v>
      </c>
      <c r="F6" s="68">
        <f t="shared" si="4"/>
        <v>108520</v>
      </c>
      <c r="G6" s="68">
        <f t="shared" si="1"/>
        <v>4883.4</v>
      </c>
      <c r="H6" s="66">
        <f t="shared" si="2"/>
        <v>19533.6</v>
      </c>
      <c r="I6" s="102">
        <f t="shared" si="3"/>
        <v>160067</v>
      </c>
    </row>
    <row r="7" spans="1:9" ht="12.75">
      <c r="A7" s="82" t="s">
        <v>818</v>
      </c>
      <c r="B7" s="68">
        <v>1</v>
      </c>
      <c r="C7" s="68">
        <v>4</v>
      </c>
      <c r="D7" s="68">
        <v>27130</v>
      </c>
      <c r="E7" s="68">
        <f t="shared" si="0"/>
        <v>27130</v>
      </c>
      <c r="F7" s="68">
        <f t="shared" si="4"/>
        <v>108520</v>
      </c>
      <c r="G7" s="68">
        <f t="shared" si="1"/>
        <v>4883.4</v>
      </c>
      <c r="H7" s="66">
        <f t="shared" si="2"/>
        <v>19533.6</v>
      </c>
      <c r="I7" s="102">
        <f t="shared" si="3"/>
        <v>160067</v>
      </c>
    </row>
    <row r="8" spans="1:9" ht="12.75">
      <c r="A8" s="82" t="s">
        <v>819</v>
      </c>
      <c r="B8" s="68">
        <v>1</v>
      </c>
      <c r="C8" s="68">
        <v>4</v>
      </c>
      <c r="D8" s="68">
        <v>27130</v>
      </c>
      <c r="E8" s="68">
        <f t="shared" si="0"/>
        <v>27130</v>
      </c>
      <c r="F8" s="68">
        <f t="shared" si="4"/>
        <v>108520</v>
      </c>
      <c r="G8" s="68">
        <f t="shared" si="1"/>
        <v>4883.4</v>
      </c>
      <c r="H8" s="66">
        <f t="shared" si="2"/>
        <v>19533.6</v>
      </c>
      <c r="I8" s="102">
        <f t="shared" si="3"/>
        <v>160067</v>
      </c>
    </row>
    <row r="9" spans="1:9" ht="12.75">
      <c r="A9" s="82" t="s">
        <v>820</v>
      </c>
      <c r="B9" s="68">
        <v>1</v>
      </c>
      <c r="C9" s="68">
        <v>4</v>
      </c>
      <c r="D9" s="68">
        <v>27130</v>
      </c>
      <c r="E9" s="68">
        <f t="shared" si="0"/>
        <v>27130</v>
      </c>
      <c r="F9" s="68">
        <f t="shared" si="4"/>
        <v>108520</v>
      </c>
      <c r="G9" s="68">
        <f t="shared" si="1"/>
        <v>4883.4</v>
      </c>
      <c r="H9" s="66">
        <f t="shared" si="2"/>
        <v>19533.6</v>
      </c>
      <c r="I9" s="102">
        <f t="shared" si="3"/>
        <v>160067</v>
      </c>
    </row>
    <row r="10" spans="1:9" ht="12.75">
      <c r="A10" s="82" t="s">
        <v>821</v>
      </c>
      <c r="B10" s="68">
        <v>1</v>
      </c>
      <c r="C10" s="68">
        <v>4</v>
      </c>
      <c r="D10" s="68">
        <v>27130</v>
      </c>
      <c r="E10" s="68">
        <f t="shared" si="0"/>
        <v>27130</v>
      </c>
      <c r="F10" s="68">
        <f t="shared" si="4"/>
        <v>108520</v>
      </c>
      <c r="G10" s="68">
        <f t="shared" si="1"/>
        <v>4883.4</v>
      </c>
      <c r="H10" s="66">
        <f t="shared" si="2"/>
        <v>19533.6</v>
      </c>
      <c r="I10" s="102">
        <f t="shared" si="3"/>
        <v>160067</v>
      </c>
    </row>
    <row r="11" spans="1:9" ht="12.75">
      <c r="A11" s="82" t="s">
        <v>822</v>
      </c>
      <c r="B11" s="68">
        <v>1</v>
      </c>
      <c r="C11" s="68">
        <v>4</v>
      </c>
      <c r="D11" s="68">
        <v>27130</v>
      </c>
      <c r="E11" s="68">
        <f t="shared" si="0"/>
        <v>27130</v>
      </c>
      <c r="F11" s="68">
        <f t="shared" si="4"/>
        <v>108520</v>
      </c>
      <c r="G11" s="68">
        <f t="shared" si="1"/>
        <v>4883.4</v>
      </c>
      <c r="H11" s="66">
        <f t="shared" si="2"/>
        <v>19533.6</v>
      </c>
      <c r="I11" s="102">
        <f t="shared" si="3"/>
        <v>160067</v>
      </c>
    </row>
    <row r="12" spans="1:9" ht="12.75">
      <c r="A12" s="82" t="s">
        <v>823</v>
      </c>
      <c r="B12" s="68">
        <v>1</v>
      </c>
      <c r="C12" s="68">
        <v>4</v>
      </c>
      <c r="D12" s="68">
        <v>27130</v>
      </c>
      <c r="E12" s="68">
        <f t="shared" si="0"/>
        <v>27130</v>
      </c>
      <c r="F12" s="68">
        <f t="shared" si="4"/>
        <v>108520</v>
      </c>
      <c r="G12" s="68">
        <f t="shared" si="1"/>
        <v>4883.4</v>
      </c>
      <c r="H12" s="66">
        <f t="shared" si="2"/>
        <v>19533.6</v>
      </c>
      <c r="I12" s="102">
        <f t="shared" si="3"/>
        <v>160067</v>
      </c>
    </row>
    <row r="13" spans="1:9" ht="12.75">
      <c r="A13" s="82" t="s">
        <v>824</v>
      </c>
      <c r="B13" s="68">
        <v>1</v>
      </c>
      <c r="C13" s="68">
        <v>4</v>
      </c>
      <c r="D13" s="68">
        <v>27130</v>
      </c>
      <c r="E13" s="68">
        <f t="shared" si="0"/>
        <v>27130</v>
      </c>
      <c r="F13" s="68">
        <f t="shared" si="4"/>
        <v>108520</v>
      </c>
      <c r="G13" s="68">
        <f t="shared" si="1"/>
        <v>4883.4</v>
      </c>
      <c r="H13" s="66">
        <f t="shared" si="2"/>
        <v>19533.6</v>
      </c>
      <c r="I13" s="102">
        <f t="shared" si="3"/>
        <v>160067</v>
      </c>
    </row>
    <row r="14" spans="1:9" ht="12.75">
      <c r="A14" s="82" t="s">
        <v>825</v>
      </c>
      <c r="B14" s="68">
        <v>1</v>
      </c>
      <c r="C14" s="68">
        <v>4</v>
      </c>
      <c r="D14" s="68">
        <v>27130</v>
      </c>
      <c r="E14" s="68">
        <f t="shared" si="0"/>
        <v>27130</v>
      </c>
      <c r="F14" s="68">
        <f t="shared" si="4"/>
        <v>108520</v>
      </c>
      <c r="G14" s="68">
        <f t="shared" si="1"/>
        <v>4883.4</v>
      </c>
      <c r="H14" s="66">
        <f t="shared" si="2"/>
        <v>19533.6</v>
      </c>
      <c r="I14" s="102">
        <f t="shared" si="3"/>
        <v>160067</v>
      </c>
    </row>
    <row r="15" spans="1:10" ht="12.75">
      <c r="A15" s="82" t="s">
        <v>709</v>
      </c>
      <c r="B15" s="68">
        <f>SUM(B3:B14)</f>
        <v>12</v>
      </c>
      <c r="C15" s="68">
        <f>SUM(C3:C14)</f>
        <v>48</v>
      </c>
      <c r="D15" s="68"/>
      <c r="E15" s="68">
        <f>SUM(E3:E14)</f>
        <v>323780</v>
      </c>
      <c r="F15" s="68">
        <f>SUM(F3:F14)</f>
        <v>1295120</v>
      </c>
      <c r="G15" s="68">
        <f>SUM(G3:G14)</f>
        <v>58280.40000000001</v>
      </c>
      <c r="H15" s="66">
        <f>SUM(H3:H14)</f>
        <v>233121.60000000003</v>
      </c>
      <c r="I15" s="66">
        <f>SUM(I3:I14)</f>
        <v>1910302</v>
      </c>
      <c r="J15" s="103"/>
    </row>
    <row r="16" spans="1:9" ht="12.75">
      <c r="A16" s="82"/>
      <c r="B16" s="82"/>
      <c r="C16" s="82"/>
      <c r="D16" s="82"/>
      <c r="E16" s="82"/>
      <c r="F16" s="82"/>
      <c r="G16" s="102"/>
      <c r="H16" s="104"/>
      <c r="I16" s="82"/>
    </row>
    <row r="17" spans="1:9" ht="12.75">
      <c r="A17" s="82" t="s">
        <v>827</v>
      </c>
      <c r="B17" s="69">
        <f>B15/12</f>
        <v>1</v>
      </c>
      <c r="C17" s="69">
        <f>C15/12</f>
        <v>4</v>
      </c>
      <c r="D17" s="82"/>
      <c r="E17" s="82"/>
      <c r="F17" s="82"/>
      <c r="G17" s="102"/>
      <c r="H17" s="104"/>
      <c r="I17" s="82"/>
    </row>
    <row r="18" spans="1:9" ht="29.25" customHeight="1">
      <c r="A18" s="71" t="s">
        <v>828</v>
      </c>
      <c r="B18" s="69">
        <v>1</v>
      </c>
      <c r="C18" s="69">
        <v>4</v>
      </c>
      <c r="D18" s="82"/>
      <c r="E18" s="82"/>
      <c r="F18" s="82"/>
      <c r="G18" s="102"/>
      <c r="H18" s="104"/>
      <c r="I18" s="82"/>
    </row>
    <row r="19" spans="1:9" ht="12.75">
      <c r="A19" s="82"/>
      <c r="B19" s="82"/>
      <c r="C19" s="82"/>
      <c r="D19" s="82"/>
      <c r="E19" s="82"/>
      <c r="F19" s="82"/>
      <c r="G19" s="102"/>
      <c r="H19" s="104"/>
      <c r="I19" s="82"/>
    </row>
    <row r="20" spans="1:9" ht="12.75">
      <c r="A20" s="82" t="s">
        <v>829</v>
      </c>
      <c r="B20" s="68">
        <v>1</v>
      </c>
      <c r="C20" s="68">
        <v>4</v>
      </c>
      <c r="D20" s="68"/>
      <c r="E20" s="68"/>
      <c r="F20" s="68"/>
      <c r="G20" s="68"/>
      <c r="H20" s="66"/>
      <c r="I20" s="102"/>
    </row>
    <row r="21" spans="1:9" ht="12.75">
      <c r="A21" s="82"/>
      <c r="B21" s="82"/>
      <c r="C21" s="82"/>
      <c r="D21" s="82"/>
      <c r="E21" s="82"/>
      <c r="F21" s="82"/>
      <c r="G21" s="102"/>
      <c r="H21" s="104"/>
      <c r="I21" s="82"/>
    </row>
    <row r="22" spans="1:9" ht="12.75">
      <c r="A22" s="82" t="s">
        <v>1355</v>
      </c>
      <c r="B22" s="82">
        <v>1</v>
      </c>
      <c r="C22" s="82">
        <v>4</v>
      </c>
      <c r="D22" s="68">
        <v>27130</v>
      </c>
      <c r="E22" s="68">
        <f>D22*B22</f>
        <v>27130</v>
      </c>
      <c r="F22" s="68">
        <f>D22*C22</f>
        <v>108520</v>
      </c>
      <c r="G22" s="68"/>
      <c r="H22" s="104"/>
      <c r="I22" s="82"/>
    </row>
    <row r="23" spans="1:9" ht="12.75">
      <c r="A23" s="82"/>
      <c r="B23" s="82"/>
      <c r="C23" s="82"/>
      <c r="D23" s="82"/>
      <c r="E23" s="82"/>
      <c r="F23" s="82"/>
      <c r="G23" s="82"/>
      <c r="H23" s="104"/>
      <c r="I23" s="82"/>
    </row>
    <row r="24" spans="1:9" ht="12.75">
      <c r="A24" s="84"/>
      <c r="B24" s="84"/>
      <c r="C24" s="84"/>
      <c r="D24" s="84"/>
      <c r="E24" s="84"/>
      <c r="F24" s="84"/>
      <c r="G24" s="84"/>
      <c r="H24" s="106"/>
      <c r="I24" s="84"/>
    </row>
  </sheetData>
  <printOptions horizontalCentered="1"/>
  <pageMargins left="0.7874015748031497" right="0.7874015748031497" top="1.2598425196850394" bottom="0.7086614173228347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NORMATÍV ÁPOLÁSI DÍJ KIFIZETÉSÉRŐL&amp;R&amp;"Arial,Dőlt"&amp;8 5.számú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9.00390625" defaultRowHeight="12.75"/>
  <cols>
    <col min="1" max="1" width="18.375" style="98" bestFit="1" customWidth="1"/>
    <col min="2" max="2" width="8.00390625" style="98" bestFit="1" customWidth="1"/>
    <col min="3" max="3" width="7.75390625" style="98" customWidth="1"/>
    <col min="4" max="4" width="10.00390625" style="98" bestFit="1" customWidth="1"/>
    <col min="5" max="5" width="13.625" style="98" bestFit="1" customWidth="1"/>
    <col min="6" max="6" width="10.00390625" style="98" bestFit="1" customWidth="1"/>
    <col min="7" max="7" width="13.625" style="98" bestFit="1" customWidth="1"/>
    <col min="8" max="8" width="9.00390625" style="98" bestFit="1" customWidth="1"/>
    <col min="9" max="9" width="12.625" style="98" bestFit="1" customWidth="1"/>
    <col min="10" max="16384" width="9.125" style="98" customWidth="1"/>
  </cols>
  <sheetData>
    <row r="1" spans="1:9" ht="121.5" customHeight="1" thickBot="1">
      <c r="A1" s="95" t="s">
        <v>104</v>
      </c>
      <c r="B1" s="96" t="s">
        <v>105</v>
      </c>
      <c r="C1" s="96" t="s">
        <v>106</v>
      </c>
      <c r="D1" s="96" t="s">
        <v>107</v>
      </c>
      <c r="E1" s="96" t="s">
        <v>108</v>
      </c>
      <c r="F1" s="96" t="s">
        <v>809</v>
      </c>
      <c r="G1" s="96" t="s">
        <v>811</v>
      </c>
      <c r="H1" s="97" t="s">
        <v>812</v>
      </c>
      <c r="I1" s="97" t="s">
        <v>830</v>
      </c>
    </row>
    <row r="2" spans="1:9" ht="13.5" thickTop="1">
      <c r="A2" s="85"/>
      <c r="B2" s="85"/>
      <c r="C2" s="85"/>
      <c r="D2" s="85"/>
      <c r="E2" s="99"/>
      <c r="F2" s="85"/>
      <c r="G2" s="100"/>
      <c r="H2" s="101"/>
      <c r="I2" s="108"/>
    </row>
    <row r="3" spans="1:9" ht="12.75">
      <c r="A3" s="82" t="s">
        <v>814</v>
      </c>
      <c r="B3" s="68">
        <v>6</v>
      </c>
      <c r="C3" s="68">
        <v>10</v>
      </c>
      <c r="D3" s="68">
        <v>21464</v>
      </c>
      <c r="E3" s="68">
        <f aca="true" t="shared" si="0" ref="E3:E14">D3*B3</f>
        <v>128784</v>
      </c>
      <c r="F3" s="68">
        <v>7155</v>
      </c>
      <c r="G3" s="68">
        <f aca="true" t="shared" si="1" ref="G3:G14">E3*18%</f>
        <v>23181.12</v>
      </c>
      <c r="H3" s="66">
        <f aca="true" t="shared" si="2" ref="H3:H14">F3*18%</f>
        <v>1287.8999999999999</v>
      </c>
      <c r="I3" s="66">
        <f aca="true" t="shared" si="3" ref="I3:I14">E3+F3+G3+H3</f>
        <v>160408.02</v>
      </c>
    </row>
    <row r="4" spans="1:9" ht="12.75">
      <c r="A4" s="82" t="s">
        <v>815</v>
      </c>
      <c r="B4" s="68">
        <v>6</v>
      </c>
      <c r="C4" s="68"/>
      <c r="D4" s="68">
        <v>21464</v>
      </c>
      <c r="E4" s="68">
        <f t="shared" si="0"/>
        <v>128784</v>
      </c>
      <c r="F4" s="68">
        <f aca="true" t="shared" si="4" ref="F4:F14">D4/30*C4</f>
        <v>0</v>
      </c>
      <c r="G4" s="68">
        <f t="shared" si="1"/>
        <v>23181.12</v>
      </c>
      <c r="H4" s="66">
        <f t="shared" si="2"/>
        <v>0</v>
      </c>
      <c r="I4" s="66">
        <f t="shared" si="3"/>
        <v>151965.12</v>
      </c>
    </row>
    <row r="5" spans="1:9" ht="12.75">
      <c r="A5" s="82" t="s">
        <v>816</v>
      </c>
      <c r="B5" s="68">
        <v>7</v>
      </c>
      <c r="C5" s="68"/>
      <c r="D5" s="68">
        <v>21704</v>
      </c>
      <c r="E5" s="68">
        <f t="shared" si="0"/>
        <v>151928</v>
      </c>
      <c r="F5" s="68">
        <f t="shared" si="4"/>
        <v>0</v>
      </c>
      <c r="G5" s="68">
        <f t="shared" si="1"/>
        <v>27347.039999999997</v>
      </c>
      <c r="H5" s="66">
        <f t="shared" si="2"/>
        <v>0</v>
      </c>
      <c r="I5" s="66">
        <f t="shared" si="3"/>
        <v>179275.04</v>
      </c>
    </row>
    <row r="6" spans="1:9" ht="12.75">
      <c r="A6" s="82" t="s">
        <v>817</v>
      </c>
      <c r="B6" s="68">
        <v>7</v>
      </c>
      <c r="C6" s="68"/>
      <c r="D6" s="68">
        <v>21704</v>
      </c>
      <c r="E6" s="68">
        <f t="shared" si="0"/>
        <v>151928</v>
      </c>
      <c r="F6" s="68">
        <f t="shared" si="4"/>
        <v>0</v>
      </c>
      <c r="G6" s="68">
        <f t="shared" si="1"/>
        <v>27347.039999999997</v>
      </c>
      <c r="H6" s="66">
        <f t="shared" si="2"/>
        <v>0</v>
      </c>
      <c r="I6" s="66">
        <f t="shared" si="3"/>
        <v>179275.04</v>
      </c>
    </row>
    <row r="7" spans="1:9" ht="12.75">
      <c r="A7" s="82" t="s">
        <v>818</v>
      </c>
      <c r="B7" s="68">
        <v>8</v>
      </c>
      <c r="C7" s="68"/>
      <c r="D7" s="68">
        <v>21704</v>
      </c>
      <c r="E7" s="68">
        <f t="shared" si="0"/>
        <v>173632</v>
      </c>
      <c r="F7" s="68">
        <f t="shared" si="4"/>
        <v>0</v>
      </c>
      <c r="G7" s="68">
        <f t="shared" si="1"/>
        <v>31253.76</v>
      </c>
      <c r="H7" s="66">
        <f t="shared" si="2"/>
        <v>0</v>
      </c>
      <c r="I7" s="66">
        <f t="shared" si="3"/>
        <v>204885.76</v>
      </c>
    </row>
    <row r="8" spans="1:9" ht="12.75">
      <c r="A8" s="82" t="s">
        <v>819</v>
      </c>
      <c r="B8" s="68">
        <v>8</v>
      </c>
      <c r="C8" s="68"/>
      <c r="D8" s="68">
        <v>21704</v>
      </c>
      <c r="E8" s="68">
        <f t="shared" si="0"/>
        <v>173632</v>
      </c>
      <c r="F8" s="68">
        <f t="shared" si="4"/>
        <v>0</v>
      </c>
      <c r="G8" s="68">
        <f t="shared" si="1"/>
        <v>31253.76</v>
      </c>
      <c r="H8" s="66">
        <f t="shared" si="2"/>
        <v>0</v>
      </c>
      <c r="I8" s="66">
        <f t="shared" si="3"/>
        <v>204885.76</v>
      </c>
    </row>
    <row r="9" spans="1:9" ht="12.75">
      <c r="A9" s="82" t="s">
        <v>820</v>
      </c>
      <c r="B9" s="68">
        <v>8</v>
      </c>
      <c r="C9" s="68"/>
      <c r="D9" s="68">
        <v>21704</v>
      </c>
      <c r="E9" s="68">
        <f t="shared" si="0"/>
        <v>173632</v>
      </c>
      <c r="F9" s="68">
        <f t="shared" si="4"/>
        <v>0</v>
      </c>
      <c r="G9" s="68">
        <f t="shared" si="1"/>
        <v>31253.76</v>
      </c>
      <c r="H9" s="66">
        <f t="shared" si="2"/>
        <v>0</v>
      </c>
      <c r="I9" s="66">
        <f t="shared" si="3"/>
        <v>204885.76</v>
      </c>
    </row>
    <row r="10" spans="1:9" ht="12.75">
      <c r="A10" s="82" t="s">
        <v>821</v>
      </c>
      <c r="B10" s="68">
        <v>7</v>
      </c>
      <c r="C10" s="68"/>
      <c r="D10" s="68">
        <v>21704</v>
      </c>
      <c r="E10" s="68">
        <f t="shared" si="0"/>
        <v>151928</v>
      </c>
      <c r="F10" s="68">
        <f t="shared" si="4"/>
        <v>0</v>
      </c>
      <c r="G10" s="68">
        <f t="shared" si="1"/>
        <v>27347.039999999997</v>
      </c>
      <c r="H10" s="66">
        <f t="shared" si="2"/>
        <v>0</v>
      </c>
      <c r="I10" s="66">
        <f t="shared" si="3"/>
        <v>179275.04</v>
      </c>
    </row>
    <row r="11" spans="1:9" ht="12.75">
      <c r="A11" s="82" t="s">
        <v>822</v>
      </c>
      <c r="B11" s="68">
        <v>7</v>
      </c>
      <c r="C11" s="68"/>
      <c r="D11" s="68">
        <v>21704</v>
      </c>
      <c r="E11" s="68">
        <f t="shared" si="0"/>
        <v>151928</v>
      </c>
      <c r="F11" s="68">
        <f t="shared" si="4"/>
        <v>0</v>
      </c>
      <c r="G11" s="68">
        <f t="shared" si="1"/>
        <v>27347.039999999997</v>
      </c>
      <c r="H11" s="66">
        <f t="shared" si="2"/>
        <v>0</v>
      </c>
      <c r="I11" s="66">
        <f t="shared" si="3"/>
        <v>179275.04</v>
      </c>
    </row>
    <row r="12" spans="1:9" ht="12.75">
      <c r="A12" s="82" t="s">
        <v>823</v>
      </c>
      <c r="B12" s="68">
        <v>7</v>
      </c>
      <c r="C12" s="68"/>
      <c r="D12" s="68">
        <v>21704</v>
      </c>
      <c r="E12" s="68">
        <f t="shared" si="0"/>
        <v>151928</v>
      </c>
      <c r="F12" s="68">
        <f t="shared" si="4"/>
        <v>0</v>
      </c>
      <c r="G12" s="68">
        <f t="shared" si="1"/>
        <v>27347.039999999997</v>
      </c>
      <c r="H12" s="66">
        <f t="shared" si="2"/>
        <v>0</v>
      </c>
      <c r="I12" s="66">
        <f t="shared" si="3"/>
        <v>179275.04</v>
      </c>
    </row>
    <row r="13" spans="1:9" ht="12.75">
      <c r="A13" s="82" t="s">
        <v>824</v>
      </c>
      <c r="B13" s="68">
        <v>7</v>
      </c>
      <c r="C13" s="68"/>
      <c r="D13" s="68">
        <v>21704</v>
      </c>
      <c r="E13" s="68">
        <f t="shared" si="0"/>
        <v>151928</v>
      </c>
      <c r="F13" s="68">
        <f t="shared" si="4"/>
        <v>0</v>
      </c>
      <c r="G13" s="68">
        <f t="shared" si="1"/>
        <v>27347.039999999997</v>
      </c>
      <c r="H13" s="66">
        <f t="shared" si="2"/>
        <v>0</v>
      </c>
      <c r="I13" s="66">
        <f t="shared" si="3"/>
        <v>179275.04</v>
      </c>
    </row>
    <row r="14" spans="1:9" ht="12.75">
      <c r="A14" s="82" t="s">
        <v>825</v>
      </c>
      <c r="B14" s="68">
        <v>7</v>
      </c>
      <c r="C14" s="68"/>
      <c r="D14" s="68">
        <v>21704</v>
      </c>
      <c r="E14" s="68">
        <f t="shared" si="0"/>
        <v>151928</v>
      </c>
      <c r="F14" s="68">
        <f t="shared" si="4"/>
        <v>0</v>
      </c>
      <c r="G14" s="68">
        <f t="shared" si="1"/>
        <v>27347.039999999997</v>
      </c>
      <c r="H14" s="66">
        <f t="shared" si="2"/>
        <v>0</v>
      </c>
      <c r="I14" s="66">
        <f t="shared" si="3"/>
        <v>179275.04</v>
      </c>
    </row>
    <row r="15" spans="1:9" ht="12.75">
      <c r="A15" s="82" t="s">
        <v>826</v>
      </c>
      <c r="B15" s="68">
        <f>SUM(B3:B14)</f>
        <v>85</v>
      </c>
      <c r="C15" s="68">
        <f>SUM(C3:C14)</f>
        <v>10</v>
      </c>
      <c r="D15" s="68"/>
      <c r="E15" s="68">
        <f>SUM(E3:E14)</f>
        <v>1841960</v>
      </c>
      <c r="F15" s="68">
        <f>SUM(F3:F14)</f>
        <v>7155</v>
      </c>
      <c r="G15" s="68">
        <f>SUM(G3:G14)</f>
        <v>331552.8</v>
      </c>
      <c r="H15" s="66">
        <f>SUM(H3:H14)</f>
        <v>1287.8999999999999</v>
      </c>
      <c r="I15" s="66">
        <f>SUM(I3:I14)</f>
        <v>2181955.7</v>
      </c>
    </row>
    <row r="16" spans="1:9" ht="12.75">
      <c r="A16" s="82"/>
      <c r="B16" s="82"/>
      <c r="C16" s="82"/>
      <c r="D16" s="82"/>
      <c r="E16" s="82"/>
      <c r="F16" s="82"/>
      <c r="G16" s="102"/>
      <c r="H16" s="104"/>
      <c r="I16" s="104"/>
    </row>
    <row r="17" spans="1:9" ht="12.75">
      <c r="A17" s="82" t="s">
        <v>827</v>
      </c>
      <c r="B17" s="69">
        <f>B15/12</f>
        <v>7.083333333333333</v>
      </c>
      <c r="C17" s="69">
        <f>C15/365</f>
        <v>0.0273972602739726</v>
      </c>
      <c r="D17" s="82"/>
      <c r="E17" s="82"/>
      <c r="F17" s="82"/>
      <c r="G17" s="102"/>
      <c r="H17" s="104"/>
      <c r="I17" s="104"/>
    </row>
    <row r="18" spans="1:9" ht="25.5">
      <c r="A18" s="71" t="s">
        <v>828</v>
      </c>
      <c r="B18" s="69">
        <f>B17+C17</f>
        <v>7.110730593607306</v>
      </c>
      <c r="C18" s="82"/>
      <c r="D18" s="82"/>
      <c r="E18" s="82"/>
      <c r="F18" s="82"/>
      <c r="G18" s="102"/>
      <c r="H18" s="104"/>
      <c r="I18" s="104"/>
    </row>
    <row r="19" spans="1:9" ht="12.75">
      <c r="A19" s="82"/>
      <c r="B19" s="82"/>
      <c r="C19" s="82"/>
      <c r="D19" s="82"/>
      <c r="E19" s="82"/>
      <c r="F19" s="82"/>
      <c r="G19" s="102"/>
      <c r="H19" s="104"/>
      <c r="I19" s="104"/>
    </row>
    <row r="20" spans="1:9" ht="12.75">
      <c r="A20" s="82" t="s">
        <v>829</v>
      </c>
      <c r="B20" s="68">
        <v>8</v>
      </c>
      <c r="C20" s="68"/>
      <c r="D20" s="68"/>
      <c r="E20" s="68"/>
      <c r="F20" s="68"/>
      <c r="G20" s="68"/>
      <c r="H20" s="66"/>
      <c r="I20" s="66"/>
    </row>
    <row r="21" spans="1:9" ht="12.75">
      <c r="A21" s="82"/>
      <c r="B21" s="82"/>
      <c r="C21" s="82"/>
      <c r="D21" s="82"/>
      <c r="E21" s="102"/>
      <c r="F21" s="82"/>
      <c r="G21" s="102"/>
      <c r="H21" s="104"/>
      <c r="I21" s="105"/>
    </row>
    <row r="22" spans="1:9" s="112" customFormat="1" ht="12.75">
      <c r="A22" s="109" t="s">
        <v>1357</v>
      </c>
      <c r="B22" s="109"/>
      <c r="C22" s="109"/>
      <c r="D22" s="109"/>
      <c r="E22" s="113">
        <v>130224</v>
      </c>
      <c r="F22" s="109"/>
      <c r="G22" s="68">
        <f>E22*18%</f>
        <v>23440.32</v>
      </c>
      <c r="H22" s="66">
        <f>F22*18%</f>
        <v>0</v>
      </c>
      <c r="I22" s="111"/>
    </row>
    <row r="23" spans="1:9" ht="12.75">
      <c r="A23" s="82"/>
      <c r="B23" s="82"/>
      <c r="C23" s="82"/>
      <c r="D23" s="82"/>
      <c r="E23" s="82"/>
      <c r="F23" s="82"/>
      <c r="G23" s="82"/>
      <c r="H23" s="104"/>
      <c r="I23" s="104"/>
    </row>
    <row r="24" spans="1:9" ht="12.75">
      <c r="A24" s="84"/>
      <c r="B24" s="84"/>
      <c r="C24" s="84"/>
      <c r="D24" s="84"/>
      <c r="E24" s="84"/>
      <c r="F24" s="84"/>
      <c r="G24" s="84"/>
      <c r="H24" s="106"/>
      <c r="I24" s="106"/>
    </row>
  </sheetData>
  <printOptions horizontalCentered="1"/>
  <pageMargins left="0.7874015748031497" right="0.7874015748031497" top="1.2598425196850394" bottom="0.6692913385826772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MÉLTÁNYOSSÁGI ÁPOLÁSÍ DÍJAK KIFIZETÉSÉRŐL&amp;R&amp;"Arial,Dőlt"&amp;8 6.számú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30" sqref="D30"/>
    </sheetView>
  </sheetViews>
  <sheetFormatPr defaultColWidth="9.00390625" defaultRowHeight="12.75"/>
  <cols>
    <col min="1" max="1" width="19.75390625" style="37" customWidth="1"/>
    <col min="2" max="2" width="11.875" style="54" bestFit="1" customWidth="1"/>
    <col min="3" max="3" width="11.625" style="37" customWidth="1"/>
    <col min="4" max="5" width="13.875" style="37" customWidth="1"/>
    <col min="6" max="6" width="12.625" style="37" customWidth="1"/>
    <col min="7" max="16384" width="9.125" style="37" customWidth="1"/>
  </cols>
  <sheetData>
    <row r="1" spans="1:5" ht="69.75" customHeight="1">
      <c r="A1" s="324" t="s">
        <v>1156</v>
      </c>
      <c r="B1" s="382" t="s">
        <v>537</v>
      </c>
      <c r="C1" s="378" t="s">
        <v>1091</v>
      </c>
      <c r="D1" s="378" t="s">
        <v>538</v>
      </c>
      <c r="E1" s="378" t="s">
        <v>1157</v>
      </c>
    </row>
    <row r="2" spans="1:5" ht="12.75" thickBot="1">
      <c r="A2" s="326"/>
      <c r="B2" s="383"/>
      <c r="C2" s="326"/>
      <c r="D2" s="326"/>
      <c r="E2" s="326"/>
    </row>
    <row r="3" spans="1:5" ht="12.75" thickTop="1">
      <c r="A3" s="41"/>
      <c r="B3" s="45"/>
      <c r="C3" s="41"/>
      <c r="D3" s="41"/>
      <c r="E3" s="41"/>
    </row>
    <row r="4" spans="1:5" ht="12">
      <c r="A4" s="41" t="s">
        <v>25</v>
      </c>
      <c r="B4" s="45">
        <v>38</v>
      </c>
      <c r="C4" s="5">
        <f>D4/B4</f>
        <v>5515.789473684211</v>
      </c>
      <c r="D4" s="5">
        <v>209600</v>
      </c>
      <c r="E4" s="5">
        <f aca="true" t="shared" si="0" ref="E4:E15">D4*90%</f>
        <v>188640</v>
      </c>
    </row>
    <row r="5" spans="1:5" ht="12">
      <c r="A5" s="41" t="s">
        <v>26</v>
      </c>
      <c r="B5" s="45">
        <v>38</v>
      </c>
      <c r="C5" s="5">
        <f aca="true" t="shared" si="1" ref="C5:C15">D5/B5</f>
        <v>5457.894736842105</v>
      </c>
      <c r="D5" s="5">
        <v>207400</v>
      </c>
      <c r="E5" s="5">
        <f t="shared" si="0"/>
        <v>186660</v>
      </c>
    </row>
    <row r="6" spans="1:5" ht="12">
      <c r="A6" s="41" t="s">
        <v>27</v>
      </c>
      <c r="B6" s="45">
        <v>37</v>
      </c>
      <c r="C6" s="5">
        <f t="shared" si="1"/>
        <v>5427.027027027027</v>
      </c>
      <c r="D6" s="5">
        <v>200800</v>
      </c>
      <c r="E6" s="5">
        <f t="shared" si="0"/>
        <v>180720</v>
      </c>
    </row>
    <row r="7" spans="1:5" ht="12">
      <c r="A7" s="41" t="s">
        <v>28</v>
      </c>
      <c r="B7" s="45">
        <v>35</v>
      </c>
      <c r="C7" s="5">
        <f t="shared" si="1"/>
        <v>5391.428571428572</v>
      </c>
      <c r="D7" s="5">
        <v>188700</v>
      </c>
      <c r="E7" s="5">
        <f t="shared" si="0"/>
        <v>169830</v>
      </c>
    </row>
    <row r="8" spans="1:5" ht="12">
      <c r="A8" s="41" t="s">
        <v>29</v>
      </c>
      <c r="B8" s="45">
        <v>35</v>
      </c>
      <c r="C8" s="5">
        <f t="shared" si="1"/>
        <v>5431.428571428572</v>
      </c>
      <c r="D8" s="5">
        <v>190100</v>
      </c>
      <c r="E8" s="5">
        <f t="shared" si="0"/>
        <v>171090</v>
      </c>
    </row>
    <row r="9" spans="1:5" ht="12">
      <c r="A9" s="41" t="s">
        <v>30</v>
      </c>
      <c r="B9" s="45">
        <v>37</v>
      </c>
      <c r="C9" s="5">
        <f t="shared" si="1"/>
        <v>5394.594594594595</v>
      </c>
      <c r="D9" s="5">
        <v>199600</v>
      </c>
      <c r="E9" s="5">
        <f t="shared" si="0"/>
        <v>179640</v>
      </c>
    </row>
    <row r="10" spans="1:5" ht="12">
      <c r="A10" s="41" t="s">
        <v>31</v>
      </c>
      <c r="B10" s="45">
        <v>36</v>
      </c>
      <c r="C10" s="5">
        <f t="shared" si="1"/>
        <v>5336.111111111111</v>
      </c>
      <c r="D10" s="5">
        <v>192100</v>
      </c>
      <c r="E10" s="5">
        <f t="shared" si="0"/>
        <v>172890</v>
      </c>
    </row>
    <row r="11" spans="1:5" ht="12">
      <c r="A11" s="41" t="s">
        <v>32</v>
      </c>
      <c r="B11" s="45">
        <v>34</v>
      </c>
      <c r="C11" s="5">
        <f t="shared" si="1"/>
        <v>5414.705882352941</v>
      </c>
      <c r="D11" s="5">
        <v>184100</v>
      </c>
      <c r="E11" s="5">
        <f t="shared" si="0"/>
        <v>165690</v>
      </c>
    </row>
    <row r="12" spans="1:5" ht="12">
      <c r="A12" s="41" t="s">
        <v>33</v>
      </c>
      <c r="B12" s="45">
        <v>36</v>
      </c>
      <c r="C12" s="5">
        <f t="shared" si="1"/>
        <v>5438.888888888889</v>
      </c>
      <c r="D12" s="5">
        <v>195800</v>
      </c>
      <c r="E12" s="5">
        <f t="shared" si="0"/>
        <v>176220</v>
      </c>
    </row>
    <row r="13" spans="1:5" ht="12">
      <c r="A13" s="41" t="s">
        <v>34</v>
      </c>
      <c r="B13" s="45">
        <v>39</v>
      </c>
      <c r="C13" s="5">
        <f t="shared" si="1"/>
        <v>5300</v>
      </c>
      <c r="D13" s="5">
        <v>206700</v>
      </c>
      <c r="E13" s="5">
        <f t="shared" si="0"/>
        <v>186030</v>
      </c>
    </row>
    <row r="14" spans="1:5" ht="12">
      <c r="A14" s="41" t="s">
        <v>35</v>
      </c>
      <c r="B14" s="45">
        <v>35</v>
      </c>
      <c r="C14" s="5">
        <f t="shared" si="1"/>
        <v>5405.714285714285</v>
      </c>
      <c r="D14" s="5">
        <v>189200</v>
      </c>
      <c r="E14" s="5">
        <f t="shared" si="0"/>
        <v>170280</v>
      </c>
    </row>
    <row r="15" spans="1:5" ht="12">
      <c r="A15" s="41" t="s">
        <v>36</v>
      </c>
      <c r="B15" s="45">
        <v>36</v>
      </c>
      <c r="C15" s="5">
        <f t="shared" si="1"/>
        <v>5683.333333333333</v>
      </c>
      <c r="D15" s="5">
        <v>204600</v>
      </c>
      <c r="E15" s="5">
        <f t="shared" si="0"/>
        <v>184140</v>
      </c>
    </row>
    <row r="16" spans="1:6" ht="12">
      <c r="A16" s="41" t="s">
        <v>1158</v>
      </c>
      <c r="B16" s="45">
        <f>SUM(B4:B15)</f>
        <v>436</v>
      </c>
      <c r="C16" s="45">
        <f>SUM(C4:C15)</f>
        <v>65196.91647640565</v>
      </c>
      <c r="D16" s="5">
        <f>SUM(D4:D15)</f>
        <v>2368700</v>
      </c>
      <c r="E16" s="5">
        <f>SUM(E4:E15)</f>
        <v>2131830</v>
      </c>
      <c r="F16" s="114"/>
    </row>
    <row r="17" spans="1:5" ht="12">
      <c r="A17" s="41"/>
      <c r="B17" s="45"/>
      <c r="C17" s="5"/>
      <c r="D17" s="5"/>
      <c r="E17" s="5"/>
    </row>
    <row r="18" spans="1:5" ht="12">
      <c r="A18" s="41"/>
      <c r="B18" s="45"/>
      <c r="C18" s="5"/>
      <c r="D18" s="5"/>
      <c r="E18" s="5"/>
    </row>
    <row r="19" spans="1:6" ht="12">
      <c r="A19" s="41" t="s">
        <v>1159</v>
      </c>
      <c r="B19" s="45">
        <f>B16/12</f>
        <v>36.333333333333336</v>
      </c>
      <c r="C19" s="5"/>
      <c r="D19" s="5">
        <f>SUM(D16:D18)</f>
        <v>2368700</v>
      </c>
      <c r="E19" s="5">
        <f>SUM(E16:E18)</f>
        <v>2131830</v>
      </c>
      <c r="F19" s="114"/>
    </row>
    <row r="20" spans="1:5" ht="12">
      <c r="A20" s="41"/>
      <c r="B20" s="45"/>
      <c r="C20" s="41"/>
      <c r="D20" s="41"/>
      <c r="E20" s="41"/>
    </row>
    <row r="21" spans="1:5" ht="12">
      <c r="A21" s="93" t="s">
        <v>543</v>
      </c>
      <c r="B21" s="45">
        <v>38</v>
      </c>
      <c r="C21" s="41"/>
      <c r="D21" s="41"/>
      <c r="E21" s="41"/>
    </row>
    <row r="22" spans="1:5" ht="12">
      <c r="A22" s="93" t="s">
        <v>1092</v>
      </c>
      <c r="B22" s="45"/>
      <c r="C22" s="5">
        <f>C16/12</f>
        <v>5433.076373033804</v>
      </c>
      <c r="D22" s="5"/>
      <c r="E22" s="5"/>
    </row>
    <row r="23" spans="1:5" ht="12">
      <c r="A23" s="93" t="s">
        <v>835</v>
      </c>
      <c r="B23" s="45"/>
      <c r="C23" s="5"/>
      <c r="D23" s="5">
        <v>204600</v>
      </c>
      <c r="E23" s="5"/>
    </row>
    <row r="24" spans="1:5" ht="12">
      <c r="A24" s="93"/>
      <c r="B24" s="45"/>
      <c r="C24" s="5"/>
      <c r="D24" s="5"/>
      <c r="E24" s="5"/>
    </row>
    <row r="25" spans="1:5" ht="12">
      <c r="A25" s="49"/>
      <c r="B25" s="50"/>
      <c r="C25" s="51"/>
      <c r="D25" s="51"/>
      <c r="E25" s="51"/>
    </row>
  </sheetData>
  <mergeCells count="5">
    <mergeCell ref="E1:E2"/>
    <mergeCell ref="A1:A2"/>
    <mergeCell ref="B1:B2"/>
    <mergeCell ref="C1:C2"/>
    <mergeCell ref="D1:D2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dőlt"&amp;11KIMUTATÁS A 2007. ÉVI LAKÁSFENNTARTÁSI TÁMOGATÁSRÓL&amp;R&amp;"Arial,Dőlt"&amp;8 7.számú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pane xSplit="1" ySplit="5" topLeftCell="S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4" sqref="A44"/>
    </sheetView>
  </sheetViews>
  <sheetFormatPr defaultColWidth="9.00390625" defaultRowHeight="12.75"/>
  <cols>
    <col min="1" max="1" width="19.125" style="176" customWidth="1"/>
    <col min="2" max="2" width="7.875" style="177" bestFit="1" customWidth="1"/>
    <col min="3" max="3" width="8.375" style="257" customWidth="1"/>
    <col min="4" max="4" width="9.25390625" style="178" customWidth="1"/>
    <col min="5" max="5" width="11.875" style="178" customWidth="1"/>
    <col min="6" max="6" width="8.25390625" style="178" customWidth="1"/>
    <col min="7" max="7" width="10.00390625" style="178" customWidth="1"/>
    <col min="8" max="8" width="9.625" style="178" customWidth="1"/>
    <col min="9" max="9" width="11.125" style="178" customWidth="1"/>
    <col min="10" max="10" width="10.00390625" style="178" customWidth="1"/>
    <col min="11" max="13" width="11.125" style="178" customWidth="1"/>
    <col min="14" max="14" width="19.125" style="176" customWidth="1"/>
    <col min="15" max="16" width="11.125" style="178" customWidth="1"/>
    <col min="17" max="17" width="9.75390625" style="178" customWidth="1"/>
    <col min="18" max="18" width="9.00390625" style="182" customWidth="1"/>
    <col min="19" max="19" width="9.625" style="182" customWidth="1"/>
    <col min="20" max="20" width="9.75390625" style="182" customWidth="1"/>
    <col min="21" max="21" width="7.125" style="178" customWidth="1"/>
    <col min="22" max="22" width="7.375" style="178" customWidth="1"/>
    <col min="23" max="23" width="7.875" style="179" customWidth="1"/>
    <col min="24" max="24" width="9.625" style="178" customWidth="1"/>
    <col min="25" max="25" width="7.75390625" style="178" customWidth="1"/>
    <col min="26" max="26" width="19.125" style="176" customWidth="1"/>
    <col min="27" max="27" width="12.875" style="178" bestFit="1" customWidth="1"/>
    <col min="28" max="28" width="10.75390625" style="178" bestFit="1" customWidth="1"/>
    <col min="29" max="29" width="12.875" style="178" bestFit="1" customWidth="1"/>
    <col min="30" max="30" width="9.25390625" style="176" customWidth="1"/>
    <col min="31" max="31" width="11.375" style="178" customWidth="1"/>
    <col min="32" max="32" width="13.875" style="176" customWidth="1"/>
    <col min="33" max="33" width="9.875" style="180" customWidth="1"/>
    <col min="34" max="34" width="9.125" style="177" customWidth="1"/>
    <col min="35" max="35" width="10.00390625" style="177" bestFit="1" customWidth="1"/>
    <col min="36" max="36" width="11.625" style="178" bestFit="1" customWidth="1"/>
    <col min="37" max="16384" width="9.125" style="176" customWidth="1"/>
  </cols>
  <sheetData>
    <row r="1" spans="1:36" ht="12.75">
      <c r="A1" s="384" t="s">
        <v>760</v>
      </c>
      <c r="B1" s="387" t="s">
        <v>349</v>
      </c>
      <c r="C1" s="390" t="s">
        <v>351</v>
      </c>
      <c r="D1" s="402" t="s">
        <v>1586</v>
      </c>
      <c r="E1" s="403"/>
      <c r="F1" s="403"/>
      <c r="G1" s="403"/>
      <c r="H1" s="403"/>
      <c r="I1" s="403"/>
      <c r="J1" s="403"/>
      <c r="K1" s="403"/>
      <c r="L1" s="403"/>
      <c r="M1" s="404"/>
      <c r="N1" s="384" t="s">
        <v>760</v>
      </c>
      <c r="O1" s="402">
        <v>2007</v>
      </c>
      <c r="P1" s="421"/>
      <c r="Q1" s="421"/>
      <c r="R1" s="421"/>
      <c r="S1" s="421"/>
      <c r="T1" s="422"/>
      <c r="U1" s="410" t="s">
        <v>336</v>
      </c>
      <c r="V1" s="410" t="s">
        <v>1529</v>
      </c>
      <c r="W1" s="415" t="s">
        <v>337</v>
      </c>
      <c r="X1" s="423" t="s">
        <v>1419</v>
      </c>
      <c r="Y1" s="424"/>
      <c r="Z1" s="384" t="s">
        <v>760</v>
      </c>
      <c r="AA1" s="427" t="s">
        <v>1587</v>
      </c>
      <c r="AB1" s="427" t="s">
        <v>1588</v>
      </c>
      <c r="AC1" s="410" t="s">
        <v>369</v>
      </c>
      <c r="AD1" s="399" t="s">
        <v>1176</v>
      </c>
      <c r="AE1" s="410" t="s">
        <v>169</v>
      </c>
      <c r="AF1" s="399" t="s">
        <v>1420</v>
      </c>
      <c r="AG1" s="432" t="s">
        <v>1177</v>
      </c>
      <c r="AH1" s="264"/>
      <c r="AI1" s="265"/>
      <c r="AJ1" s="266"/>
    </row>
    <row r="2" spans="1:36" ht="11.25" customHeight="1">
      <c r="A2" s="385"/>
      <c r="B2" s="388"/>
      <c r="C2" s="391"/>
      <c r="D2" s="393" t="s">
        <v>350</v>
      </c>
      <c r="E2" s="393" t="s">
        <v>352</v>
      </c>
      <c r="F2" s="393" t="s">
        <v>353</v>
      </c>
      <c r="G2" s="393" t="s">
        <v>350</v>
      </c>
      <c r="H2" s="400" t="s">
        <v>1418</v>
      </c>
      <c r="I2" s="393" t="s">
        <v>389</v>
      </c>
      <c r="J2" s="396" t="s">
        <v>1475</v>
      </c>
      <c r="K2" s="397"/>
      <c r="L2" s="397"/>
      <c r="M2" s="398"/>
      <c r="N2" s="385"/>
      <c r="O2" s="418" t="s">
        <v>1475</v>
      </c>
      <c r="P2" s="419"/>
      <c r="Q2" s="419"/>
      <c r="R2" s="419"/>
      <c r="S2" s="419"/>
      <c r="T2" s="420"/>
      <c r="U2" s="411"/>
      <c r="V2" s="413"/>
      <c r="W2" s="416"/>
      <c r="X2" s="393" t="s">
        <v>335</v>
      </c>
      <c r="Y2" s="393" t="s">
        <v>338</v>
      </c>
      <c r="Z2" s="385"/>
      <c r="AA2" s="428"/>
      <c r="AB2" s="428"/>
      <c r="AC2" s="430"/>
      <c r="AD2" s="425"/>
      <c r="AE2" s="435"/>
      <c r="AF2" s="425"/>
      <c r="AG2" s="433"/>
      <c r="AH2" s="407" t="s">
        <v>771</v>
      </c>
      <c r="AI2" s="400" t="s">
        <v>772</v>
      </c>
      <c r="AJ2" s="393" t="s">
        <v>1178</v>
      </c>
    </row>
    <row r="3" spans="1:36" ht="11.25" customHeight="1">
      <c r="A3" s="385"/>
      <c r="B3" s="388"/>
      <c r="C3" s="391"/>
      <c r="D3" s="394"/>
      <c r="E3" s="405"/>
      <c r="F3" s="405"/>
      <c r="G3" s="405"/>
      <c r="H3" s="400"/>
      <c r="I3" s="405"/>
      <c r="J3" s="393" t="s">
        <v>234</v>
      </c>
      <c r="K3" s="393" t="s">
        <v>1470</v>
      </c>
      <c r="L3" s="393" t="s">
        <v>947</v>
      </c>
      <c r="M3" s="400" t="s">
        <v>1471</v>
      </c>
      <c r="N3" s="385"/>
      <c r="O3" s="399" t="s">
        <v>1472</v>
      </c>
      <c r="P3" s="399" t="s">
        <v>1473</v>
      </c>
      <c r="Q3" s="399" t="s">
        <v>1474</v>
      </c>
      <c r="R3" s="399" t="s">
        <v>1531</v>
      </c>
      <c r="S3" s="399" t="s">
        <v>1417</v>
      </c>
      <c r="T3" s="399" t="s">
        <v>1530</v>
      </c>
      <c r="U3" s="411"/>
      <c r="V3" s="413"/>
      <c r="W3" s="416"/>
      <c r="X3" s="425"/>
      <c r="Y3" s="425"/>
      <c r="Z3" s="385"/>
      <c r="AA3" s="428"/>
      <c r="AB3" s="428"/>
      <c r="AC3" s="430"/>
      <c r="AD3" s="425"/>
      <c r="AE3" s="435"/>
      <c r="AF3" s="425"/>
      <c r="AG3" s="433"/>
      <c r="AH3" s="408"/>
      <c r="AI3" s="388"/>
      <c r="AJ3" s="394"/>
    </row>
    <row r="4" spans="1:36" ht="11.25" customHeight="1">
      <c r="A4" s="385"/>
      <c r="B4" s="388"/>
      <c r="C4" s="391"/>
      <c r="D4" s="394"/>
      <c r="E4" s="405"/>
      <c r="F4" s="405"/>
      <c r="G4" s="405"/>
      <c r="H4" s="400"/>
      <c r="I4" s="405"/>
      <c r="J4" s="400"/>
      <c r="K4" s="400"/>
      <c r="L4" s="400"/>
      <c r="M4" s="400"/>
      <c r="N4" s="385"/>
      <c r="O4" s="400"/>
      <c r="P4" s="400"/>
      <c r="Q4" s="400"/>
      <c r="R4" s="400"/>
      <c r="S4" s="400"/>
      <c r="T4" s="400"/>
      <c r="U4" s="411"/>
      <c r="V4" s="413"/>
      <c r="W4" s="416"/>
      <c r="X4" s="425"/>
      <c r="Y4" s="425"/>
      <c r="Z4" s="385"/>
      <c r="AA4" s="428"/>
      <c r="AB4" s="428"/>
      <c r="AC4" s="430"/>
      <c r="AD4" s="425"/>
      <c r="AE4" s="435"/>
      <c r="AF4" s="425"/>
      <c r="AG4" s="433"/>
      <c r="AH4" s="408"/>
      <c r="AI4" s="388"/>
      <c r="AJ4" s="394"/>
    </row>
    <row r="5" spans="1:36" ht="30" customHeight="1" thickBot="1">
      <c r="A5" s="386"/>
      <c r="B5" s="389"/>
      <c r="C5" s="392"/>
      <c r="D5" s="395"/>
      <c r="E5" s="406"/>
      <c r="F5" s="406"/>
      <c r="G5" s="406"/>
      <c r="H5" s="401"/>
      <c r="I5" s="406"/>
      <c r="J5" s="401"/>
      <c r="K5" s="401"/>
      <c r="L5" s="401"/>
      <c r="M5" s="401"/>
      <c r="N5" s="386"/>
      <c r="O5" s="401"/>
      <c r="P5" s="401"/>
      <c r="Q5" s="401"/>
      <c r="R5" s="401"/>
      <c r="S5" s="401"/>
      <c r="T5" s="401"/>
      <c r="U5" s="412"/>
      <c r="V5" s="414"/>
      <c r="W5" s="417"/>
      <c r="X5" s="426"/>
      <c r="Y5" s="426"/>
      <c r="Z5" s="386"/>
      <c r="AA5" s="429"/>
      <c r="AB5" s="429"/>
      <c r="AC5" s="431"/>
      <c r="AD5" s="426"/>
      <c r="AE5" s="436"/>
      <c r="AF5" s="426"/>
      <c r="AG5" s="434"/>
      <c r="AH5" s="409"/>
      <c r="AI5" s="389"/>
      <c r="AJ5" s="395"/>
    </row>
    <row r="6" spans="1:36" ht="11.25" customHeight="1" thickTop="1">
      <c r="A6" s="190" t="s">
        <v>334</v>
      </c>
      <c r="B6" s="19"/>
      <c r="C6" s="252"/>
      <c r="D6" s="188"/>
      <c r="E6" s="173"/>
      <c r="F6" s="173"/>
      <c r="G6" s="173"/>
      <c r="H6" s="173"/>
      <c r="I6" s="174"/>
      <c r="J6" s="174"/>
      <c r="K6" s="174"/>
      <c r="L6" s="174"/>
      <c r="M6" s="174"/>
      <c r="N6" s="190" t="s">
        <v>334</v>
      </c>
      <c r="O6" s="174"/>
      <c r="P6" s="174"/>
      <c r="Q6" s="174"/>
      <c r="R6" s="218"/>
      <c r="S6" s="218"/>
      <c r="T6" s="218"/>
      <c r="U6" s="207"/>
      <c r="V6" s="207"/>
      <c r="W6" s="212"/>
      <c r="X6" s="173"/>
      <c r="Y6" s="173"/>
      <c r="Z6" s="190" t="s">
        <v>334</v>
      </c>
      <c r="AA6" s="224"/>
      <c r="AB6" s="224"/>
      <c r="AC6" s="188"/>
      <c r="AD6" s="207"/>
      <c r="AE6" s="188"/>
      <c r="AF6" s="207"/>
      <c r="AG6" s="19"/>
      <c r="AH6" s="259"/>
      <c r="AI6" s="19"/>
      <c r="AJ6" s="188"/>
    </row>
    <row r="7" spans="1:36" s="181" customFormat="1" ht="11.25" customHeight="1">
      <c r="A7" s="191" t="s">
        <v>1467</v>
      </c>
      <c r="B7" s="19"/>
      <c r="C7" s="252"/>
      <c r="D7" s="188"/>
      <c r="E7" s="197"/>
      <c r="F7" s="197"/>
      <c r="G7" s="197"/>
      <c r="H7" s="197"/>
      <c r="I7" s="198"/>
      <c r="J7" s="197"/>
      <c r="K7" s="197"/>
      <c r="L7" s="197"/>
      <c r="M7" s="197"/>
      <c r="N7" s="191" t="s">
        <v>1467</v>
      </c>
      <c r="O7" s="198"/>
      <c r="P7" s="198"/>
      <c r="Q7" s="198"/>
      <c r="R7" s="219"/>
      <c r="S7" s="219"/>
      <c r="T7" s="219"/>
      <c r="U7" s="207"/>
      <c r="V7" s="207"/>
      <c r="W7" s="212"/>
      <c r="X7" s="197"/>
      <c r="Y7" s="197"/>
      <c r="Z7" s="191" t="s">
        <v>1467</v>
      </c>
      <c r="AA7" s="224"/>
      <c r="AB7" s="224"/>
      <c r="AC7" s="188"/>
      <c r="AD7" s="29"/>
      <c r="AE7" s="188"/>
      <c r="AF7" s="207"/>
      <c r="AG7" s="19"/>
      <c r="AH7" s="259"/>
      <c r="AI7" s="19"/>
      <c r="AJ7" s="188"/>
    </row>
    <row r="8" spans="1:36" s="181" customFormat="1" ht="11.25" customHeight="1">
      <c r="A8" s="191" t="s">
        <v>379</v>
      </c>
      <c r="B8" s="19" t="s">
        <v>723</v>
      </c>
      <c r="C8" s="252">
        <v>1.47</v>
      </c>
      <c r="D8" s="188">
        <v>114600</v>
      </c>
      <c r="E8" s="195">
        <f>D8*C8</f>
        <v>168462</v>
      </c>
      <c r="F8" s="197"/>
      <c r="G8" s="20">
        <f>E8+F8</f>
        <v>168462</v>
      </c>
      <c r="H8" s="197"/>
      <c r="I8" s="200">
        <v>168500</v>
      </c>
      <c r="J8" s="197">
        <v>19600</v>
      </c>
      <c r="K8" s="197">
        <f>J8*100%</f>
        <v>19600</v>
      </c>
      <c r="L8" s="197">
        <f>J8*18%</f>
        <v>3528</v>
      </c>
      <c r="M8" s="197">
        <f>J8*0%</f>
        <v>0</v>
      </c>
      <c r="N8" s="191" t="s">
        <v>379</v>
      </c>
      <c r="O8" s="197">
        <f>J8*0%</f>
        <v>0</v>
      </c>
      <c r="P8" s="197">
        <f>J8*0%</f>
        <v>0</v>
      </c>
      <c r="Q8" s="200">
        <f>J8*0%</f>
        <v>0</v>
      </c>
      <c r="R8" s="223">
        <f>J8*0%</f>
        <v>0</v>
      </c>
      <c r="S8" s="220"/>
      <c r="T8" s="220"/>
      <c r="U8" s="207"/>
      <c r="V8" s="207"/>
      <c r="W8" s="212"/>
      <c r="X8" s="197"/>
      <c r="Y8" s="197"/>
      <c r="Z8" s="191" t="s">
        <v>379</v>
      </c>
      <c r="AA8" s="224">
        <f>164600+18900</f>
        <v>183500</v>
      </c>
      <c r="AB8" s="224">
        <f>18900+3402</f>
        <v>22302</v>
      </c>
      <c r="AC8" s="188">
        <v>183500</v>
      </c>
      <c r="AD8" s="29" t="s">
        <v>344</v>
      </c>
      <c r="AE8" s="188"/>
      <c r="AF8" s="207" t="s">
        <v>1408</v>
      </c>
      <c r="AG8" s="76">
        <v>39448</v>
      </c>
      <c r="AH8" s="259" t="s">
        <v>1189</v>
      </c>
      <c r="AI8" s="76">
        <v>42192</v>
      </c>
      <c r="AJ8" s="188">
        <v>0</v>
      </c>
    </row>
    <row r="9" spans="1:36" s="181" customFormat="1" ht="11.25" customHeight="1">
      <c r="A9" s="191" t="s">
        <v>377</v>
      </c>
      <c r="B9" s="19" t="s">
        <v>1525</v>
      </c>
      <c r="C9" s="252">
        <v>1.37</v>
      </c>
      <c r="D9" s="188">
        <v>114600</v>
      </c>
      <c r="E9" s="195">
        <f>D9*C9</f>
        <v>157002</v>
      </c>
      <c r="F9" s="197"/>
      <c r="G9" s="20">
        <f>E9+F9</f>
        <v>157002</v>
      </c>
      <c r="H9" s="197"/>
      <c r="I9" s="200">
        <v>157000</v>
      </c>
      <c r="J9" s="197">
        <v>19600</v>
      </c>
      <c r="K9" s="197">
        <f>J9*0%</f>
        <v>0</v>
      </c>
      <c r="L9" s="197">
        <f>J9*18%</f>
        <v>3528</v>
      </c>
      <c r="M9" s="197">
        <f>J9*0%</f>
        <v>0</v>
      </c>
      <c r="N9" s="191" t="s">
        <v>377</v>
      </c>
      <c r="O9" s="197">
        <f>J9*0%</f>
        <v>0</v>
      </c>
      <c r="P9" s="197">
        <f>J9*0%</f>
        <v>0</v>
      </c>
      <c r="Q9" s="200">
        <f>J9*0%</f>
        <v>0</v>
      </c>
      <c r="R9" s="223">
        <f>J9*0%</f>
        <v>0</v>
      </c>
      <c r="S9" s="220"/>
      <c r="T9" s="220"/>
      <c r="U9" s="207"/>
      <c r="V9" s="207"/>
      <c r="W9" s="212"/>
      <c r="X9" s="197"/>
      <c r="Y9" s="197"/>
      <c r="Z9" s="191" t="s">
        <v>377</v>
      </c>
      <c r="AA9" s="224">
        <v>174800</v>
      </c>
      <c r="AB9" s="224">
        <v>3402</v>
      </c>
      <c r="AC9" s="188">
        <v>147800</v>
      </c>
      <c r="AD9" s="207" t="s">
        <v>378</v>
      </c>
      <c r="AE9" s="188">
        <v>4000</v>
      </c>
      <c r="AF9" s="207" t="s">
        <v>1403</v>
      </c>
      <c r="AG9" s="76">
        <v>39814</v>
      </c>
      <c r="AH9" s="259" t="s">
        <v>780</v>
      </c>
      <c r="AI9" s="76">
        <v>39479</v>
      </c>
      <c r="AJ9" s="188"/>
    </row>
    <row r="10" spans="1:36" s="181" customFormat="1" ht="11.25" customHeight="1">
      <c r="A10" s="191" t="s">
        <v>781</v>
      </c>
      <c r="B10" s="19" t="s">
        <v>722</v>
      </c>
      <c r="C10" s="252">
        <v>1.2625</v>
      </c>
      <c r="D10" s="188">
        <v>66300</v>
      </c>
      <c r="E10" s="195">
        <f>D10*C10</f>
        <v>83703.75</v>
      </c>
      <c r="F10" s="197"/>
      <c r="G10" s="20">
        <f>E10+F10</f>
        <v>83703.75</v>
      </c>
      <c r="H10" s="197"/>
      <c r="I10" s="200">
        <v>83700</v>
      </c>
      <c r="J10" s="197">
        <v>19600</v>
      </c>
      <c r="K10" s="197">
        <f>J10*0%</f>
        <v>0</v>
      </c>
      <c r="L10" s="197">
        <f>J10*0%</f>
        <v>0</v>
      </c>
      <c r="M10" s="197">
        <f>J10*0%</f>
        <v>0</v>
      </c>
      <c r="N10" s="191" t="s">
        <v>781</v>
      </c>
      <c r="O10" s="197">
        <f>J10*0%</f>
        <v>0</v>
      </c>
      <c r="P10" s="197">
        <f>J10*0%</f>
        <v>0</v>
      </c>
      <c r="Q10" s="200">
        <f>J10*0%</f>
        <v>0</v>
      </c>
      <c r="R10" s="223">
        <f>J10*0%</f>
        <v>0</v>
      </c>
      <c r="S10" s="220"/>
      <c r="T10" s="220"/>
      <c r="U10" s="207"/>
      <c r="V10" s="207"/>
      <c r="W10" s="212"/>
      <c r="X10" s="197"/>
      <c r="Y10" s="197"/>
      <c r="Z10" s="191" t="s">
        <v>781</v>
      </c>
      <c r="AA10" s="224">
        <v>80500</v>
      </c>
      <c r="AB10" s="224">
        <v>2000</v>
      </c>
      <c r="AC10" s="188">
        <v>80500</v>
      </c>
      <c r="AD10" s="207" t="s">
        <v>344</v>
      </c>
      <c r="AE10" s="188"/>
      <c r="AF10" s="207" t="s">
        <v>1400</v>
      </c>
      <c r="AG10" s="76">
        <v>39448</v>
      </c>
      <c r="AH10" s="259" t="s">
        <v>780</v>
      </c>
      <c r="AI10" s="76">
        <v>39996</v>
      </c>
      <c r="AJ10" s="188"/>
    </row>
    <row r="11" spans="1:36" s="181" customFormat="1" ht="11.25" customHeight="1">
      <c r="A11" s="175"/>
      <c r="B11" s="19"/>
      <c r="C11" s="252"/>
      <c r="D11" s="188"/>
      <c r="E11" s="197"/>
      <c r="F11" s="197"/>
      <c r="G11" s="197"/>
      <c r="H11" s="197"/>
      <c r="I11" s="198"/>
      <c r="J11" s="197"/>
      <c r="K11" s="197"/>
      <c r="L11" s="197"/>
      <c r="M11" s="197">
        <f>J11*0%</f>
        <v>0</v>
      </c>
      <c r="N11" s="175"/>
      <c r="O11" s="198"/>
      <c r="P11" s="198"/>
      <c r="Q11" s="198"/>
      <c r="R11" s="219"/>
      <c r="S11" s="219"/>
      <c r="T11" s="219"/>
      <c r="U11" s="207"/>
      <c r="V11" s="207"/>
      <c r="W11" s="212"/>
      <c r="X11" s="197"/>
      <c r="Y11" s="197"/>
      <c r="Z11" s="175"/>
      <c r="AA11" s="224"/>
      <c r="AB11" s="224"/>
      <c r="AC11" s="188"/>
      <c r="AD11" s="207"/>
      <c r="AE11" s="188"/>
      <c r="AF11" s="207"/>
      <c r="AG11" s="19"/>
      <c r="AH11" s="259"/>
      <c r="AI11" s="19"/>
      <c r="AJ11" s="188"/>
    </row>
    <row r="12" spans="1:36" s="189" customFormat="1" ht="11.25" customHeight="1">
      <c r="A12" s="192" t="s">
        <v>1469</v>
      </c>
      <c r="B12" s="25"/>
      <c r="C12" s="255"/>
      <c r="D12" s="194"/>
      <c r="E12" s="196">
        <f>SUM(E8:E11)</f>
        <v>409167.75</v>
      </c>
      <c r="F12" s="196">
        <f>SUM(F8:F11)</f>
        <v>0</v>
      </c>
      <c r="G12" s="196">
        <f>SUM(G8:G11)</f>
        <v>409167.75</v>
      </c>
      <c r="H12" s="196">
        <f>SUM(H8:H11)</f>
        <v>0</v>
      </c>
      <c r="I12" s="201">
        <f>SUM(I8:I11)</f>
        <v>409200</v>
      </c>
      <c r="J12" s="199"/>
      <c r="K12" s="199">
        <f>SUM(K8:K11)</f>
        <v>19600</v>
      </c>
      <c r="L12" s="199">
        <f>SUM(L8:L11)</f>
        <v>7056</v>
      </c>
      <c r="M12" s="199">
        <f>SUM(M8:M11)</f>
        <v>0</v>
      </c>
      <c r="N12" s="192" t="s">
        <v>1469</v>
      </c>
      <c r="O12" s="201">
        <f>SUM(O8:O11)</f>
        <v>0</v>
      </c>
      <c r="P12" s="201">
        <f>SUM(P8:P11)</f>
        <v>0</v>
      </c>
      <c r="Q12" s="201">
        <f>SUM(Q8:Q11)</f>
        <v>0</v>
      </c>
      <c r="R12" s="210">
        <f>SUM(R8:R11)</f>
        <v>0</v>
      </c>
      <c r="S12" s="210">
        <f>SUM(S8:S11)</f>
        <v>0</v>
      </c>
      <c r="T12" s="210"/>
      <c r="U12" s="208"/>
      <c r="V12" s="208"/>
      <c r="W12" s="213"/>
      <c r="X12" s="199"/>
      <c r="Y12" s="199"/>
      <c r="Z12" s="192" t="s">
        <v>1469</v>
      </c>
      <c r="AA12" s="225">
        <f>SUM(AA8:AA11)</f>
        <v>438800</v>
      </c>
      <c r="AB12" s="225">
        <f>SUM(AB8:AB11)</f>
        <v>27704</v>
      </c>
      <c r="AC12" s="194">
        <f>SUM(AC8:AC11)</f>
        <v>411800</v>
      </c>
      <c r="AD12" s="208"/>
      <c r="AE12" s="194">
        <f>SUM(AE8:AE11)</f>
        <v>4000</v>
      </c>
      <c r="AF12" s="208"/>
      <c r="AG12" s="25"/>
      <c r="AH12" s="260"/>
      <c r="AI12" s="25"/>
      <c r="AJ12" s="194">
        <f>SUM(AJ8:AJ11)</f>
        <v>0</v>
      </c>
    </row>
    <row r="13" spans="1:36" s="181" customFormat="1" ht="11.25" customHeight="1">
      <c r="A13" s="191"/>
      <c r="B13" s="19"/>
      <c r="C13" s="252"/>
      <c r="D13" s="188"/>
      <c r="E13" s="197"/>
      <c r="F13" s="197"/>
      <c r="G13" s="197"/>
      <c r="H13" s="197"/>
      <c r="I13" s="198"/>
      <c r="J13" s="197"/>
      <c r="K13" s="197"/>
      <c r="L13" s="197"/>
      <c r="M13" s="197"/>
      <c r="N13" s="191"/>
      <c r="O13" s="198"/>
      <c r="P13" s="198"/>
      <c r="Q13" s="198"/>
      <c r="R13" s="219"/>
      <c r="S13" s="219"/>
      <c r="T13" s="219"/>
      <c r="U13" s="207"/>
      <c r="V13" s="207"/>
      <c r="W13" s="212"/>
      <c r="X13" s="197"/>
      <c r="Y13" s="197"/>
      <c r="Z13" s="191"/>
      <c r="AA13" s="224"/>
      <c r="AB13" s="224"/>
      <c r="AC13" s="188"/>
      <c r="AD13" s="207"/>
      <c r="AE13" s="188"/>
      <c r="AF13" s="207"/>
      <c r="AG13" s="19"/>
      <c r="AH13" s="259"/>
      <c r="AI13" s="19"/>
      <c r="AJ13" s="188"/>
    </row>
    <row r="14" spans="1:36" s="181" customFormat="1" ht="11.25" customHeight="1">
      <c r="A14" s="191" t="s">
        <v>1421</v>
      </c>
      <c r="B14" s="19" t="s">
        <v>1385</v>
      </c>
      <c r="C14" s="252">
        <v>1.27</v>
      </c>
      <c r="D14" s="188">
        <v>114600</v>
      </c>
      <c r="E14" s="195">
        <f>D14*C14</f>
        <v>145542</v>
      </c>
      <c r="F14" s="197"/>
      <c r="G14" s="20">
        <f>E14+F14</f>
        <v>145542</v>
      </c>
      <c r="H14" s="197">
        <v>9100</v>
      </c>
      <c r="I14" s="200">
        <v>154600</v>
      </c>
      <c r="J14" s="197">
        <v>19600</v>
      </c>
      <c r="K14" s="197">
        <f>J14*0%</f>
        <v>0</v>
      </c>
      <c r="L14" s="197">
        <f>J14*18%</f>
        <v>3528</v>
      </c>
      <c r="M14" s="197">
        <f>J14*0%</f>
        <v>0</v>
      </c>
      <c r="N14" s="191" t="s">
        <v>1421</v>
      </c>
      <c r="O14" s="197">
        <f>J14*0%</f>
        <v>0</v>
      </c>
      <c r="P14" s="197">
        <f>J14*0%</f>
        <v>0</v>
      </c>
      <c r="Q14" s="200">
        <f>J14*0%</f>
        <v>0</v>
      </c>
      <c r="R14" s="223">
        <f>J14*0%</f>
        <v>0</v>
      </c>
      <c r="S14" s="220">
        <f>J14*0%</f>
        <v>0</v>
      </c>
      <c r="T14" s="220"/>
      <c r="U14" s="207"/>
      <c r="V14" s="207"/>
      <c r="W14" s="212"/>
      <c r="X14" s="197"/>
      <c r="Y14" s="197"/>
      <c r="Z14" s="191" t="s">
        <v>1421</v>
      </c>
      <c r="AA14" s="224">
        <f>142200+9100</f>
        <v>151300</v>
      </c>
      <c r="AB14" s="224">
        <v>3402</v>
      </c>
      <c r="AC14" s="188">
        <v>151300</v>
      </c>
      <c r="AD14" s="207" t="s">
        <v>378</v>
      </c>
      <c r="AE14" s="188"/>
      <c r="AF14" s="207" t="s">
        <v>1393</v>
      </c>
      <c r="AG14" s="76">
        <v>39448</v>
      </c>
      <c r="AH14" s="259" t="s">
        <v>780</v>
      </c>
      <c r="AI14" s="76">
        <v>40766</v>
      </c>
      <c r="AJ14" s="188">
        <v>0</v>
      </c>
    </row>
    <row r="15" spans="1:36" s="181" customFormat="1" ht="11.25" customHeight="1">
      <c r="A15" s="191" t="s">
        <v>1422</v>
      </c>
      <c r="B15" s="19" t="s">
        <v>1386</v>
      </c>
      <c r="C15" s="252">
        <v>1.57</v>
      </c>
      <c r="D15" s="188">
        <v>114600</v>
      </c>
      <c r="E15" s="195">
        <f>D15*C15</f>
        <v>179922</v>
      </c>
      <c r="F15" s="197"/>
      <c r="G15" s="20">
        <f>E15+F15</f>
        <v>179922</v>
      </c>
      <c r="H15" s="197">
        <v>9100</v>
      </c>
      <c r="I15" s="200">
        <v>189000</v>
      </c>
      <c r="J15" s="197">
        <v>19600</v>
      </c>
      <c r="K15" s="197">
        <f>J15*100%</f>
        <v>19600</v>
      </c>
      <c r="L15" s="197">
        <f>J15*18%</f>
        <v>3528</v>
      </c>
      <c r="M15" s="197">
        <f>J15*0%</f>
        <v>0</v>
      </c>
      <c r="N15" s="191" t="s">
        <v>1422</v>
      </c>
      <c r="O15" s="197">
        <f>J15*0%</f>
        <v>0</v>
      </c>
      <c r="P15" s="197">
        <f>J15*0%</f>
        <v>0</v>
      </c>
      <c r="Q15" s="200">
        <f>J15*0%</f>
        <v>0</v>
      </c>
      <c r="R15" s="223">
        <f>J15*0%</f>
        <v>0</v>
      </c>
      <c r="S15" s="220">
        <f>J15*0%</f>
        <v>0</v>
      </c>
      <c r="T15" s="220"/>
      <c r="U15" s="207"/>
      <c r="V15" s="207"/>
      <c r="W15" s="212"/>
      <c r="X15" s="197"/>
      <c r="Y15" s="197"/>
      <c r="Z15" s="191" t="s">
        <v>1422</v>
      </c>
      <c r="AA15" s="224">
        <f>175800+9100+18900</f>
        <v>203800</v>
      </c>
      <c r="AB15" s="224">
        <f>18900+3402</f>
        <v>22302</v>
      </c>
      <c r="AC15" s="188">
        <v>184900</v>
      </c>
      <c r="AD15" s="207" t="s">
        <v>378</v>
      </c>
      <c r="AE15" s="188"/>
      <c r="AF15" s="207" t="s">
        <v>1404</v>
      </c>
      <c r="AG15" s="76">
        <v>39448</v>
      </c>
      <c r="AH15" s="259" t="s">
        <v>1189</v>
      </c>
      <c r="AI15" s="263">
        <v>39234</v>
      </c>
      <c r="AJ15" s="188">
        <v>899500</v>
      </c>
    </row>
    <row r="16" spans="1:36" s="181" customFormat="1" ht="11.25" customHeight="1">
      <c r="A16" s="191" t="s">
        <v>1423</v>
      </c>
      <c r="B16" s="19" t="s">
        <v>1385</v>
      </c>
      <c r="C16" s="252">
        <v>1.27</v>
      </c>
      <c r="D16" s="188">
        <v>114600</v>
      </c>
      <c r="E16" s="195">
        <f>D16*C16</f>
        <v>145542</v>
      </c>
      <c r="F16" s="197"/>
      <c r="G16" s="20">
        <f>E16+F16</f>
        <v>145542</v>
      </c>
      <c r="H16" s="197">
        <v>9100</v>
      </c>
      <c r="I16" s="200">
        <v>154600</v>
      </c>
      <c r="J16" s="197">
        <v>19600</v>
      </c>
      <c r="K16" s="197">
        <f>J16*0%</f>
        <v>0</v>
      </c>
      <c r="L16" s="197">
        <f>J16*18%</f>
        <v>3528</v>
      </c>
      <c r="M16" s="197">
        <f>J16*0%</f>
        <v>0</v>
      </c>
      <c r="N16" s="191" t="s">
        <v>1423</v>
      </c>
      <c r="O16" s="197">
        <f>J16*0%</f>
        <v>0</v>
      </c>
      <c r="P16" s="197">
        <f>J16*0%</f>
        <v>0</v>
      </c>
      <c r="Q16" s="200">
        <f>J16*0%</f>
        <v>0</v>
      </c>
      <c r="R16" s="223">
        <f>J16*0%</f>
        <v>0</v>
      </c>
      <c r="S16" s="220">
        <f>J16*0%</f>
        <v>0</v>
      </c>
      <c r="T16" s="220"/>
      <c r="U16" s="207"/>
      <c r="V16" s="207"/>
      <c r="W16" s="212"/>
      <c r="X16" s="197"/>
      <c r="Y16" s="197"/>
      <c r="Z16" s="191" t="s">
        <v>1423</v>
      </c>
      <c r="AA16" s="224">
        <f>142200+9100</f>
        <v>151300</v>
      </c>
      <c r="AB16" s="224">
        <f>3402</f>
        <v>3402</v>
      </c>
      <c r="AC16" s="188">
        <v>151300</v>
      </c>
      <c r="AD16" s="207" t="s">
        <v>378</v>
      </c>
      <c r="AE16" s="188"/>
      <c r="AF16" s="207" t="s">
        <v>1405</v>
      </c>
      <c r="AG16" s="76">
        <v>39448</v>
      </c>
      <c r="AH16" s="259" t="s">
        <v>780</v>
      </c>
      <c r="AI16" s="76">
        <v>40918</v>
      </c>
      <c r="AJ16" s="188"/>
    </row>
    <row r="17" spans="1:36" s="181" customFormat="1" ht="11.25" customHeight="1">
      <c r="A17" s="191" t="s">
        <v>1424</v>
      </c>
      <c r="B17" s="19" t="s">
        <v>1415</v>
      </c>
      <c r="C17" s="252">
        <v>1.4125</v>
      </c>
      <c r="D17" s="188">
        <v>66300</v>
      </c>
      <c r="E17" s="195">
        <f>D17*C17</f>
        <v>93648.75</v>
      </c>
      <c r="F17" s="197"/>
      <c r="G17" s="20">
        <f>E17+F17</f>
        <v>93648.75</v>
      </c>
      <c r="H17" s="197"/>
      <c r="I17" s="200">
        <v>93600</v>
      </c>
      <c r="J17" s="197">
        <v>19600</v>
      </c>
      <c r="K17" s="197">
        <f>J17*0%</f>
        <v>0</v>
      </c>
      <c r="L17" s="197">
        <f>J17*0%</f>
        <v>0</v>
      </c>
      <c r="M17" s="197">
        <f>J17*0%</f>
        <v>0</v>
      </c>
      <c r="N17" s="191" t="s">
        <v>1424</v>
      </c>
      <c r="O17" s="197">
        <f>J17*0%</f>
        <v>0</v>
      </c>
      <c r="P17" s="197">
        <f>J17*0%</f>
        <v>0</v>
      </c>
      <c r="Q17" s="200">
        <f>J17*0%</f>
        <v>0</v>
      </c>
      <c r="R17" s="223">
        <f>J17*0%</f>
        <v>0</v>
      </c>
      <c r="S17" s="220">
        <f>J17*0%</f>
        <v>0</v>
      </c>
      <c r="T17" s="220"/>
      <c r="U17" s="207"/>
      <c r="V17" s="207"/>
      <c r="W17" s="212"/>
      <c r="X17" s="197"/>
      <c r="Y17" s="197"/>
      <c r="Z17" s="191" t="s">
        <v>1424</v>
      </c>
      <c r="AA17" s="224">
        <v>88100</v>
      </c>
      <c r="AB17" s="224"/>
      <c r="AC17" s="188">
        <v>88100</v>
      </c>
      <c r="AD17" s="207" t="s">
        <v>378</v>
      </c>
      <c r="AE17" s="188"/>
      <c r="AF17" s="207" t="s">
        <v>1410</v>
      </c>
      <c r="AG17" s="76">
        <v>39814</v>
      </c>
      <c r="AH17" s="259" t="s">
        <v>1189</v>
      </c>
      <c r="AI17" s="76">
        <v>41896</v>
      </c>
      <c r="AJ17" s="188"/>
    </row>
    <row r="18" spans="1:36" s="181" customFormat="1" ht="11.25" customHeight="1">
      <c r="A18" s="191" t="s">
        <v>1425</v>
      </c>
      <c r="B18" s="19" t="s">
        <v>1387</v>
      </c>
      <c r="C18" s="252">
        <v>1.3</v>
      </c>
      <c r="D18" s="188">
        <v>66300</v>
      </c>
      <c r="E18" s="195">
        <f>D18*C18</f>
        <v>86190</v>
      </c>
      <c r="F18" s="197"/>
      <c r="G18" s="20">
        <f>E18+F18</f>
        <v>86190</v>
      </c>
      <c r="H18" s="197"/>
      <c r="I18" s="200">
        <v>86200</v>
      </c>
      <c r="J18" s="197">
        <v>19600</v>
      </c>
      <c r="K18" s="197">
        <f>J18*0%</f>
        <v>0</v>
      </c>
      <c r="L18" s="197">
        <f>J18*0%</f>
        <v>0</v>
      </c>
      <c r="M18" s="197">
        <f>J18*0%</f>
        <v>0</v>
      </c>
      <c r="N18" s="191" t="s">
        <v>1425</v>
      </c>
      <c r="O18" s="197">
        <f>J18*0%</f>
        <v>0</v>
      </c>
      <c r="P18" s="197">
        <f>J18*0%</f>
        <v>0</v>
      </c>
      <c r="Q18" s="200">
        <f>J18*0%</f>
        <v>0</v>
      </c>
      <c r="R18" s="223">
        <f>J18*0%</f>
        <v>0</v>
      </c>
      <c r="S18" s="220">
        <f>J18*0%</f>
        <v>0</v>
      </c>
      <c r="T18" s="220"/>
      <c r="U18" s="207"/>
      <c r="V18" s="207"/>
      <c r="W18" s="212"/>
      <c r="X18" s="197"/>
      <c r="Y18" s="197"/>
      <c r="Z18" s="191" t="s">
        <v>1425</v>
      </c>
      <c r="AA18" s="224">
        <v>83000</v>
      </c>
      <c r="AB18" s="224"/>
      <c r="AC18" s="188">
        <v>83100</v>
      </c>
      <c r="AD18" s="207" t="s">
        <v>378</v>
      </c>
      <c r="AE18" s="188"/>
      <c r="AF18" s="207" t="s">
        <v>1411</v>
      </c>
      <c r="AG18" s="76">
        <v>39448</v>
      </c>
      <c r="AH18" s="259" t="s">
        <v>1180</v>
      </c>
      <c r="AI18" s="76">
        <v>40566</v>
      </c>
      <c r="AJ18" s="188"/>
    </row>
    <row r="19" spans="1:36" s="181" customFormat="1" ht="11.25" customHeight="1">
      <c r="A19" s="191" t="s">
        <v>1416</v>
      </c>
      <c r="B19" s="19"/>
      <c r="C19" s="252"/>
      <c r="D19" s="188"/>
      <c r="E19" s="197"/>
      <c r="F19" s="197"/>
      <c r="G19" s="197"/>
      <c r="H19" s="197"/>
      <c r="I19" s="198"/>
      <c r="J19" s="197"/>
      <c r="K19" s="197"/>
      <c r="L19" s="197"/>
      <c r="M19" s="197"/>
      <c r="N19" s="191"/>
      <c r="O19" s="198"/>
      <c r="P19" s="198"/>
      <c r="Q19" s="198"/>
      <c r="R19" s="219"/>
      <c r="S19" s="219"/>
      <c r="T19" s="219"/>
      <c r="U19" s="207"/>
      <c r="V19" s="207"/>
      <c r="W19" s="212"/>
      <c r="X19" s="197"/>
      <c r="Y19" s="197"/>
      <c r="Z19" s="191" t="s">
        <v>1416</v>
      </c>
      <c r="AA19" s="224"/>
      <c r="AB19" s="224"/>
      <c r="AC19" s="188">
        <v>71300</v>
      </c>
      <c r="AD19" s="207"/>
      <c r="AE19" s="188"/>
      <c r="AF19" s="207"/>
      <c r="AG19" s="19"/>
      <c r="AH19" s="259"/>
      <c r="AI19" s="19"/>
      <c r="AJ19" s="188"/>
    </row>
    <row r="20" spans="1:36" s="189" customFormat="1" ht="11.25" customHeight="1">
      <c r="A20" s="192" t="s">
        <v>1388</v>
      </c>
      <c r="B20" s="25"/>
      <c r="C20" s="255"/>
      <c r="D20" s="194"/>
      <c r="E20" s="196">
        <f>SUM(E14:E19)</f>
        <v>650844.75</v>
      </c>
      <c r="F20" s="196">
        <f>SUM(F14:F19)</f>
        <v>0</v>
      </c>
      <c r="G20" s="196">
        <f>SUM(G14:G19)</f>
        <v>650844.75</v>
      </c>
      <c r="H20" s="196">
        <f>SUM(H14:H19)</f>
        <v>27300</v>
      </c>
      <c r="I20" s="196">
        <f>SUM(I14:I19)</f>
        <v>678000</v>
      </c>
      <c r="J20" s="199"/>
      <c r="K20" s="199">
        <f>SUM(K14:K19)</f>
        <v>19600</v>
      </c>
      <c r="L20" s="199">
        <f>SUM(L14:L19)</f>
        <v>10584</v>
      </c>
      <c r="M20" s="199">
        <f>SUM(M14:M19)</f>
        <v>0</v>
      </c>
      <c r="N20" s="192" t="s">
        <v>1388</v>
      </c>
      <c r="O20" s="201">
        <f>SUM(O14:O19)</f>
        <v>0</v>
      </c>
      <c r="P20" s="201">
        <f>SUM(P14:P19)</f>
        <v>0</v>
      </c>
      <c r="Q20" s="201">
        <f>SUM(Q14:Q19)</f>
        <v>0</v>
      </c>
      <c r="R20" s="210">
        <f>SUM(R14:R19)</f>
        <v>0</v>
      </c>
      <c r="S20" s="210">
        <f>SUM(S14:S19)</f>
        <v>0</v>
      </c>
      <c r="T20" s="210"/>
      <c r="U20" s="208"/>
      <c r="V20" s="208"/>
      <c r="W20" s="213"/>
      <c r="X20" s="199"/>
      <c r="Y20" s="199"/>
      <c r="Z20" s="192" t="s">
        <v>1388</v>
      </c>
      <c r="AA20" s="225">
        <f>SUM(AA14:AA19)</f>
        <v>677500</v>
      </c>
      <c r="AB20" s="225">
        <f>SUM(AB14:AB19)</f>
        <v>29106</v>
      </c>
      <c r="AC20" s="194">
        <f>SUM(AC14:AC19)</f>
        <v>730000</v>
      </c>
      <c r="AD20" s="208"/>
      <c r="AE20" s="194"/>
      <c r="AF20" s="208"/>
      <c r="AG20" s="25"/>
      <c r="AH20" s="260"/>
      <c r="AI20" s="25"/>
      <c r="AJ20" s="194">
        <f>SUM(AJ14:AJ19)</f>
        <v>899500</v>
      </c>
    </row>
    <row r="21" spans="1:36" s="205" customFormat="1" ht="11.25" customHeight="1">
      <c r="A21" s="193" t="s">
        <v>1528</v>
      </c>
      <c r="B21" s="161"/>
      <c r="C21" s="256"/>
      <c r="D21" s="202"/>
      <c r="E21" s="203">
        <f>E12+E20</f>
        <v>1060012.5</v>
      </c>
      <c r="F21" s="203">
        <f aca="true" t="shared" si="0" ref="F21:K21">F12+F20</f>
        <v>0</v>
      </c>
      <c r="G21" s="203"/>
      <c r="H21" s="203">
        <f t="shared" si="0"/>
        <v>27300</v>
      </c>
      <c r="I21" s="203">
        <f t="shared" si="0"/>
        <v>1087200</v>
      </c>
      <c r="J21" s="204"/>
      <c r="K21" s="203">
        <f t="shared" si="0"/>
        <v>39200</v>
      </c>
      <c r="L21" s="203">
        <f>L12+L20</f>
        <v>17640</v>
      </c>
      <c r="M21" s="203">
        <f>M12+M20</f>
        <v>0</v>
      </c>
      <c r="N21" s="193" t="s">
        <v>1528</v>
      </c>
      <c r="O21" s="203">
        <f>O12+O20</f>
        <v>0</v>
      </c>
      <c r="P21" s="203">
        <f>P12+P20</f>
        <v>0</v>
      </c>
      <c r="Q21" s="203">
        <f>Q12+Q20</f>
        <v>0</v>
      </c>
      <c r="R21" s="211">
        <f>R12+R20</f>
        <v>0</v>
      </c>
      <c r="S21" s="211">
        <f>S12+S20</f>
        <v>0</v>
      </c>
      <c r="T21" s="211"/>
      <c r="U21" s="209"/>
      <c r="V21" s="209"/>
      <c r="W21" s="214"/>
      <c r="X21" s="203"/>
      <c r="Y21" s="203"/>
      <c r="Z21" s="193" t="s">
        <v>1528</v>
      </c>
      <c r="AA21" s="203">
        <f>AA12+AA20</f>
        <v>1116300</v>
      </c>
      <c r="AB21" s="203">
        <f>AB12+AB20</f>
        <v>56810</v>
      </c>
      <c r="AC21" s="203">
        <f>AC12+AC20</f>
        <v>1141800</v>
      </c>
      <c r="AD21" s="209"/>
      <c r="AE21" s="202"/>
      <c r="AF21" s="209"/>
      <c r="AG21" s="161"/>
      <c r="AH21" s="261"/>
      <c r="AI21" s="161"/>
      <c r="AJ21" s="203">
        <f>AJ12+AJ20</f>
        <v>899500</v>
      </c>
    </row>
    <row r="22" spans="1:36" ht="11.25" customHeight="1">
      <c r="A22" s="190" t="s">
        <v>541</v>
      </c>
      <c r="B22" s="19"/>
      <c r="C22" s="252"/>
      <c r="D22" s="188"/>
      <c r="E22" s="173"/>
      <c r="F22" s="173"/>
      <c r="G22" s="173"/>
      <c r="H22" s="173"/>
      <c r="I22" s="174"/>
      <c r="J22" s="174"/>
      <c r="K22" s="174"/>
      <c r="L22" s="174"/>
      <c r="M22" s="174"/>
      <c r="N22" s="190" t="s">
        <v>541</v>
      </c>
      <c r="O22" s="174"/>
      <c r="P22" s="174"/>
      <c r="Q22" s="174"/>
      <c r="R22" s="218"/>
      <c r="S22" s="218"/>
      <c r="T22" s="218"/>
      <c r="U22" s="207"/>
      <c r="V22" s="207"/>
      <c r="W22" s="212"/>
      <c r="X22" s="173"/>
      <c r="Y22" s="173"/>
      <c r="Z22" s="190" t="s">
        <v>541</v>
      </c>
      <c r="AA22" s="224"/>
      <c r="AB22" s="224"/>
      <c r="AC22" s="188"/>
      <c r="AD22" s="207"/>
      <c r="AE22" s="188"/>
      <c r="AF22" s="207"/>
      <c r="AG22" s="19"/>
      <c r="AH22" s="259"/>
      <c r="AI22" s="19"/>
      <c r="AJ22" s="188"/>
    </row>
    <row r="23" spans="1:36" ht="11.25">
      <c r="A23" s="29" t="s">
        <v>1179</v>
      </c>
      <c r="B23" s="19" t="s">
        <v>1182</v>
      </c>
      <c r="C23" s="236">
        <v>1.47</v>
      </c>
      <c r="D23" s="188">
        <v>114600</v>
      </c>
      <c r="E23" s="195">
        <f aca="true" t="shared" si="1" ref="E23:E30">D23*C23</f>
        <v>168462</v>
      </c>
      <c r="F23" s="20">
        <f>E23*5%</f>
        <v>8423.1</v>
      </c>
      <c r="G23" s="20">
        <f aca="true" t="shared" si="2" ref="G23:G44">E23+F23</f>
        <v>176885.1</v>
      </c>
      <c r="H23" s="20"/>
      <c r="I23" s="200">
        <v>176900</v>
      </c>
      <c r="J23" s="197">
        <v>19600</v>
      </c>
      <c r="K23" s="197">
        <f>J23*100%</f>
        <v>19600</v>
      </c>
      <c r="L23" s="197">
        <f aca="true" t="shared" si="3" ref="L23:L30">J23*18%</f>
        <v>3528</v>
      </c>
      <c r="M23" s="20">
        <f>J23*30%</f>
        <v>5880</v>
      </c>
      <c r="N23" s="29" t="s">
        <v>1179</v>
      </c>
      <c r="O23" s="197">
        <f>J23*0%</f>
        <v>0</v>
      </c>
      <c r="P23" s="197">
        <f>J23*0%</f>
        <v>0</v>
      </c>
      <c r="Q23" s="200">
        <f aca="true" t="shared" si="4" ref="Q23:Q30">J23*0%</f>
        <v>0</v>
      </c>
      <c r="R23" s="223">
        <f aca="true" t="shared" si="5" ref="R23:R29">J23*0%</f>
        <v>0</v>
      </c>
      <c r="S23" s="188"/>
      <c r="T23" s="188"/>
      <c r="U23" s="20">
        <v>20</v>
      </c>
      <c r="V23" s="20">
        <v>8</v>
      </c>
      <c r="W23" s="215">
        <f aca="true" t="shared" si="6" ref="W23:W44">U23*4.33</f>
        <v>86.6</v>
      </c>
      <c r="X23" s="20">
        <f>I23+L23</f>
        <v>180428</v>
      </c>
      <c r="Y23" s="20">
        <f>X23/W23</f>
        <v>2083.4642032332563</v>
      </c>
      <c r="Z23" s="29" t="s">
        <v>1179</v>
      </c>
      <c r="AA23" s="21">
        <f>172900</f>
        <v>172900</v>
      </c>
      <c r="AB23" s="21">
        <f>5670+18900+3402</f>
        <v>27972</v>
      </c>
      <c r="AC23" s="20">
        <v>172900</v>
      </c>
      <c r="AD23" s="29" t="s">
        <v>344</v>
      </c>
      <c r="AE23" s="20">
        <v>0</v>
      </c>
      <c r="AF23" s="29" t="s">
        <v>1390</v>
      </c>
      <c r="AG23" s="76">
        <v>39448</v>
      </c>
      <c r="AH23" s="259" t="s">
        <v>1189</v>
      </c>
      <c r="AI23" s="76">
        <v>42614</v>
      </c>
      <c r="AJ23" s="20"/>
    </row>
    <row r="24" spans="1:36" ht="11.25">
      <c r="A24" s="29" t="s">
        <v>1181</v>
      </c>
      <c r="B24" s="19" t="s">
        <v>1589</v>
      </c>
      <c r="C24" s="236">
        <v>1.52</v>
      </c>
      <c r="D24" s="188">
        <v>114600</v>
      </c>
      <c r="E24" s="195">
        <f t="shared" si="1"/>
        <v>174192</v>
      </c>
      <c r="F24" s="20"/>
      <c r="G24" s="20">
        <f t="shared" si="2"/>
        <v>174192</v>
      </c>
      <c r="H24" s="20"/>
      <c r="I24" s="200">
        <v>174200</v>
      </c>
      <c r="J24" s="197">
        <v>19600</v>
      </c>
      <c r="K24" s="197">
        <f aca="true" t="shared" si="7" ref="K24:K30">J24*0%</f>
        <v>0</v>
      </c>
      <c r="L24" s="197">
        <f t="shared" si="3"/>
        <v>3528</v>
      </c>
      <c r="M24" s="20">
        <f>J24*30%</f>
        <v>5880</v>
      </c>
      <c r="N24" s="29" t="s">
        <v>1181</v>
      </c>
      <c r="O24" s="197">
        <f>J24*12%</f>
        <v>2352</v>
      </c>
      <c r="P24" s="197">
        <f aca="true" t="shared" si="8" ref="P24:P30">J24*0%</f>
        <v>0</v>
      </c>
      <c r="Q24" s="200">
        <f t="shared" si="4"/>
        <v>0</v>
      </c>
      <c r="R24" s="223">
        <f t="shared" si="5"/>
        <v>0</v>
      </c>
      <c r="S24" s="188"/>
      <c r="T24" s="188"/>
      <c r="U24" s="20">
        <v>21</v>
      </c>
      <c r="V24" s="20">
        <v>2</v>
      </c>
      <c r="W24" s="215">
        <f t="shared" si="6"/>
        <v>90.93</v>
      </c>
      <c r="X24" s="20">
        <f aca="true" t="shared" si="9" ref="X24:X30">I24+L24</f>
        <v>177728</v>
      </c>
      <c r="Y24" s="20">
        <f>X24/W24</f>
        <v>1954.558451556142</v>
      </c>
      <c r="Z24" s="29" t="s">
        <v>1181</v>
      </c>
      <c r="AA24" s="21">
        <f>164600</f>
        <v>164600</v>
      </c>
      <c r="AB24" s="21">
        <f>5670+2268+3402</f>
        <v>11340</v>
      </c>
      <c r="AC24" s="20">
        <v>164600</v>
      </c>
      <c r="AD24" s="29" t="s">
        <v>344</v>
      </c>
      <c r="AE24" s="20"/>
      <c r="AF24" s="29" t="s">
        <v>1394</v>
      </c>
      <c r="AG24" s="76">
        <v>40179</v>
      </c>
      <c r="AH24" s="259" t="s">
        <v>1189</v>
      </c>
      <c r="AI24" s="19" t="s">
        <v>1395</v>
      </c>
      <c r="AJ24" s="20"/>
    </row>
    <row r="25" spans="1:36" ht="11.25">
      <c r="A25" s="29" t="s">
        <v>1183</v>
      </c>
      <c r="B25" s="19" t="s">
        <v>386</v>
      </c>
      <c r="C25" s="236">
        <v>1.1875</v>
      </c>
      <c r="D25" s="20">
        <v>70800</v>
      </c>
      <c r="E25" s="195">
        <f t="shared" si="1"/>
        <v>84075</v>
      </c>
      <c r="F25" s="20"/>
      <c r="G25" s="20">
        <f t="shared" si="2"/>
        <v>84075</v>
      </c>
      <c r="H25" s="20"/>
      <c r="I25" s="200">
        <v>84100</v>
      </c>
      <c r="J25" s="197">
        <v>19600</v>
      </c>
      <c r="K25" s="197">
        <f t="shared" si="7"/>
        <v>0</v>
      </c>
      <c r="L25" s="197">
        <f>J25*0%</f>
        <v>0</v>
      </c>
      <c r="M25" s="20">
        <f>J25*0%</f>
        <v>0</v>
      </c>
      <c r="N25" s="29" t="s">
        <v>1183</v>
      </c>
      <c r="O25" s="197">
        <f aca="true" t="shared" si="10" ref="O25:O30">J25*0%</f>
        <v>0</v>
      </c>
      <c r="P25" s="197">
        <f t="shared" si="8"/>
        <v>0</v>
      </c>
      <c r="Q25" s="200">
        <f>J25*25%</f>
        <v>4900</v>
      </c>
      <c r="R25" s="223">
        <f t="shared" si="5"/>
        <v>0</v>
      </c>
      <c r="S25" s="188"/>
      <c r="T25" s="188"/>
      <c r="U25" s="20">
        <v>0</v>
      </c>
      <c r="V25" s="20"/>
      <c r="W25" s="215">
        <f t="shared" si="6"/>
        <v>0</v>
      </c>
      <c r="X25" s="20">
        <f t="shared" si="9"/>
        <v>84100</v>
      </c>
      <c r="Y25" s="20"/>
      <c r="Z25" s="29" t="s">
        <v>1183</v>
      </c>
      <c r="AA25" s="21">
        <f>80900</f>
        <v>80900</v>
      </c>
      <c r="AB25" s="21">
        <f>4725</f>
        <v>4725</v>
      </c>
      <c r="AC25" s="20">
        <v>80900</v>
      </c>
      <c r="AD25" s="29" t="s">
        <v>344</v>
      </c>
      <c r="AE25" s="20"/>
      <c r="AF25" s="29" t="s">
        <v>1396</v>
      </c>
      <c r="AG25" s="76">
        <v>39448</v>
      </c>
      <c r="AH25" s="259" t="s">
        <v>780</v>
      </c>
      <c r="AI25" s="76">
        <v>42245</v>
      </c>
      <c r="AJ25" s="20"/>
    </row>
    <row r="26" spans="1:36" ht="11.25">
      <c r="A26" s="29" t="s">
        <v>1185</v>
      </c>
      <c r="B26" s="19" t="s">
        <v>1413</v>
      </c>
      <c r="C26" s="236">
        <v>1.47</v>
      </c>
      <c r="D26" s="188">
        <v>114600</v>
      </c>
      <c r="E26" s="195">
        <f t="shared" si="1"/>
        <v>168462</v>
      </c>
      <c r="F26" s="20"/>
      <c r="G26" s="20">
        <f t="shared" si="2"/>
        <v>168462</v>
      </c>
      <c r="H26" s="20"/>
      <c r="I26" s="200">
        <v>168500</v>
      </c>
      <c r="J26" s="197">
        <v>19600</v>
      </c>
      <c r="K26" s="197">
        <f t="shared" si="7"/>
        <v>0</v>
      </c>
      <c r="L26" s="197">
        <f t="shared" si="3"/>
        <v>3528</v>
      </c>
      <c r="M26" s="20">
        <f>J26*30%</f>
        <v>5880</v>
      </c>
      <c r="N26" s="29" t="s">
        <v>1185</v>
      </c>
      <c r="O26" s="197">
        <f t="shared" si="10"/>
        <v>0</v>
      </c>
      <c r="P26" s="197">
        <f t="shared" si="8"/>
        <v>0</v>
      </c>
      <c r="Q26" s="200">
        <f t="shared" si="4"/>
        <v>0</v>
      </c>
      <c r="R26" s="223">
        <f t="shared" si="5"/>
        <v>0</v>
      </c>
      <c r="S26" s="188"/>
      <c r="T26" s="188"/>
      <c r="U26" s="20">
        <v>21</v>
      </c>
      <c r="V26" s="20">
        <v>1</v>
      </c>
      <c r="W26" s="215">
        <f t="shared" si="6"/>
        <v>90.93</v>
      </c>
      <c r="X26" s="20">
        <f t="shared" si="9"/>
        <v>172028</v>
      </c>
      <c r="Y26" s="20">
        <f>X26/W26</f>
        <v>1891.8728692400746</v>
      </c>
      <c r="Z26" s="29" t="s">
        <v>1185</v>
      </c>
      <c r="AA26" s="21">
        <f>159000</f>
        <v>159000</v>
      </c>
      <c r="AB26" s="21">
        <f>5670+3402</f>
        <v>9072</v>
      </c>
      <c r="AC26" s="20">
        <v>159000</v>
      </c>
      <c r="AD26" s="29" t="s">
        <v>344</v>
      </c>
      <c r="AE26" s="20"/>
      <c r="AF26" s="29" t="s">
        <v>370</v>
      </c>
      <c r="AG26" s="76">
        <v>39814</v>
      </c>
      <c r="AH26" s="259" t="s">
        <v>1180</v>
      </c>
      <c r="AI26" s="76">
        <v>39741</v>
      </c>
      <c r="AJ26" s="20"/>
    </row>
    <row r="27" spans="1:36" ht="11.25">
      <c r="A27" s="29" t="s">
        <v>1187</v>
      </c>
      <c r="B27" s="19" t="s">
        <v>1413</v>
      </c>
      <c r="C27" s="236">
        <v>1.47</v>
      </c>
      <c r="D27" s="188">
        <v>114600</v>
      </c>
      <c r="E27" s="195">
        <f t="shared" si="1"/>
        <v>168462</v>
      </c>
      <c r="F27" s="20"/>
      <c r="G27" s="20">
        <f t="shared" si="2"/>
        <v>168462</v>
      </c>
      <c r="H27" s="20"/>
      <c r="I27" s="200">
        <v>168500</v>
      </c>
      <c r="J27" s="197">
        <v>19600</v>
      </c>
      <c r="K27" s="197">
        <f t="shared" si="7"/>
        <v>0</v>
      </c>
      <c r="L27" s="197">
        <f t="shared" si="3"/>
        <v>3528</v>
      </c>
      <c r="M27" s="20">
        <f>J27*30%</f>
        <v>5880</v>
      </c>
      <c r="N27" s="29" t="s">
        <v>1187</v>
      </c>
      <c r="O27" s="197">
        <f t="shared" si="10"/>
        <v>0</v>
      </c>
      <c r="P27" s="197">
        <f t="shared" si="8"/>
        <v>0</v>
      </c>
      <c r="Q27" s="200">
        <f t="shared" si="4"/>
        <v>0</v>
      </c>
      <c r="R27" s="223">
        <f t="shared" si="5"/>
        <v>0</v>
      </c>
      <c r="S27" s="188"/>
      <c r="T27" s="188"/>
      <c r="U27" s="20">
        <v>21</v>
      </c>
      <c r="V27" s="20">
        <v>1</v>
      </c>
      <c r="W27" s="215">
        <f t="shared" si="6"/>
        <v>90.93</v>
      </c>
      <c r="X27" s="20">
        <f t="shared" si="9"/>
        <v>172028</v>
      </c>
      <c r="Y27" s="20">
        <f>X27/W27</f>
        <v>1891.8728692400746</v>
      </c>
      <c r="Z27" s="29" t="s">
        <v>1187</v>
      </c>
      <c r="AA27" s="21">
        <f>159000</f>
        <v>159000</v>
      </c>
      <c r="AB27" s="21">
        <f>5670+3402</f>
        <v>9072</v>
      </c>
      <c r="AC27" s="20">
        <v>159000</v>
      </c>
      <c r="AD27" s="29" t="s">
        <v>344</v>
      </c>
      <c r="AE27" s="20"/>
      <c r="AF27" s="29" t="s">
        <v>1397</v>
      </c>
      <c r="AG27" s="76">
        <v>39814</v>
      </c>
      <c r="AH27" s="259" t="s">
        <v>1180</v>
      </c>
      <c r="AI27" s="263">
        <v>39306</v>
      </c>
      <c r="AJ27" s="20">
        <v>505500</v>
      </c>
    </row>
    <row r="28" spans="1:36" ht="11.25">
      <c r="A28" s="29" t="s">
        <v>1188</v>
      </c>
      <c r="B28" s="19" t="s">
        <v>1194</v>
      </c>
      <c r="C28" s="236">
        <v>1.52</v>
      </c>
      <c r="D28" s="188">
        <v>114600</v>
      </c>
      <c r="E28" s="195">
        <f t="shared" si="1"/>
        <v>174192</v>
      </c>
      <c r="F28" s="20"/>
      <c r="G28" s="20">
        <f t="shared" si="2"/>
        <v>174192</v>
      </c>
      <c r="H28" s="20"/>
      <c r="I28" s="200">
        <v>174200</v>
      </c>
      <c r="J28" s="197">
        <v>19600</v>
      </c>
      <c r="K28" s="197">
        <f t="shared" si="7"/>
        <v>0</v>
      </c>
      <c r="L28" s="197">
        <f t="shared" si="3"/>
        <v>3528</v>
      </c>
      <c r="M28" s="20">
        <f>J28*0%</f>
        <v>0</v>
      </c>
      <c r="N28" s="29" t="s">
        <v>1188</v>
      </c>
      <c r="O28" s="197">
        <f t="shared" si="10"/>
        <v>0</v>
      </c>
      <c r="P28" s="197">
        <f t="shared" si="8"/>
        <v>0</v>
      </c>
      <c r="Q28" s="200">
        <f t="shared" si="4"/>
        <v>0</v>
      </c>
      <c r="R28" s="223">
        <f t="shared" si="5"/>
        <v>0</v>
      </c>
      <c r="S28" s="188"/>
      <c r="T28" s="188"/>
      <c r="U28" s="20">
        <v>23</v>
      </c>
      <c r="V28" s="20">
        <v>0</v>
      </c>
      <c r="W28" s="215">
        <f t="shared" si="6"/>
        <v>99.59</v>
      </c>
      <c r="X28" s="20">
        <f t="shared" si="9"/>
        <v>177728</v>
      </c>
      <c r="Y28" s="20">
        <f>X28/W28</f>
        <v>1784.5968470729993</v>
      </c>
      <c r="Z28" s="29" t="s">
        <v>1188</v>
      </c>
      <c r="AA28" s="21">
        <f>170200</f>
        <v>170200</v>
      </c>
      <c r="AB28" s="21">
        <f>3402</f>
        <v>3402</v>
      </c>
      <c r="AC28" s="20">
        <v>170200</v>
      </c>
      <c r="AD28" s="29" t="s">
        <v>344</v>
      </c>
      <c r="AE28" s="20"/>
      <c r="AF28" s="29" t="s">
        <v>1398</v>
      </c>
      <c r="AG28" s="76">
        <v>39448</v>
      </c>
      <c r="AH28" s="259" t="s">
        <v>1189</v>
      </c>
      <c r="AI28" s="76">
        <v>41550</v>
      </c>
      <c r="AJ28" s="20"/>
    </row>
    <row r="29" spans="1:36" ht="11.25">
      <c r="A29" s="29" t="s">
        <v>1192</v>
      </c>
      <c r="B29" s="19" t="s">
        <v>1590</v>
      </c>
      <c r="C29" s="236">
        <v>1.12</v>
      </c>
      <c r="D29" s="188">
        <v>114600</v>
      </c>
      <c r="E29" s="195">
        <f t="shared" si="1"/>
        <v>128352.00000000001</v>
      </c>
      <c r="F29" s="20">
        <f>E29*5%</f>
        <v>6417.600000000001</v>
      </c>
      <c r="G29" s="20">
        <f t="shared" si="2"/>
        <v>134769.6</v>
      </c>
      <c r="H29" s="20"/>
      <c r="I29" s="200">
        <v>134800</v>
      </c>
      <c r="J29" s="197">
        <v>19600</v>
      </c>
      <c r="K29" s="197">
        <f t="shared" si="7"/>
        <v>0</v>
      </c>
      <c r="L29" s="197">
        <f t="shared" si="3"/>
        <v>3528</v>
      </c>
      <c r="M29" s="20">
        <f>J29*0%</f>
        <v>0</v>
      </c>
      <c r="N29" s="29" t="s">
        <v>1192</v>
      </c>
      <c r="O29" s="197">
        <f t="shared" si="10"/>
        <v>0</v>
      </c>
      <c r="P29" s="197">
        <f t="shared" si="8"/>
        <v>0</v>
      </c>
      <c r="Q29" s="200">
        <f t="shared" si="4"/>
        <v>0</v>
      </c>
      <c r="R29" s="223">
        <f t="shared" si="5"/>
        <v>0</v>
      </c>
      <c r="S29" s="188"/>
      <c r="T29" s="188"/>
      <c r="U29" s="20">
        <v>20</v>
      </c>
      <c r="V29" s="20"/>
      <c r="W29" s="215">
        <f t="shared" si="6"/>
        <v>86.6</v>
      </c>
      <c r="X29" s="20">
        <f t="shared" si="9"/>
        <v>138328</v>
      </c>
      <c r="Y29" s="20"/>
      <c r="Z29" s="29" t="s">
        <v>1192</v>
      </c>
      <c r="AA29" s="21"/>
      <c r="AB29" s="21"/>
      <c r="AC29" s="20">
        <v>109200</v>
      </c>
      <c r="AD29" s="29" t="s">
        <v>1190</v>
      </c>
      <c r="AE29" s="20"/>
      <c r="AF29" s="29" t="s">
        <v>1407</v>
      </c>
      <c r="AG29" s="76">
        <v>40179</v>
      </c>
      <c r="AH29" s="259" t="s">
        <v>780</v>
      </c>
      <c r="AI29" s="76">
        <v>45176</v>
      </c>
      <c r="AJ29" s="20"/>
    </row>
    <row r="30" spans="1:36" ht="11.25">
      <c r="A30" s="29" t="s">
        <v>1193</v>
      </c>
      <c r="B30" s="19" t="s">
        <v>1414</v>
      </c>
      <c r="C30" s="236">
        <v>1.57</v>
      </c>
      <c r="D30" s="188">
        <v>114600</v>
      </c>
      <c r="E30" s="195">
        <f t="shared" si="1"/>
        <v>179922</v>
      </c>
      <c r="F30" s="20"/>
      <c r="G30" s="20">
        <f t="shared" si="2"/>
        <v>179922</v>
      </c>
      <c r="H30" s="20"/>
      <c r="I30" s="200">
        <v>179900</v>
      </c>
      <c r="J30" s="197">
        <v>19600</v>
      </c>
      <c r="K30" s="197">
        <f t="shared" si="7"/>
        <v>0</v>
      </c>
      <c r="L30" s="197">
        <f t="shared" si="3"/>
        <v>3528</v>
      </c>
      <c r="M30" s="20">
        <f>J30*30%</f>
        <v>5880</v>
      </c>
      <c r="N30" s="29" t="s">
        <v>1193</v>
      </c>
      <c r="O30" s="197">
        <f t="shared" si="10"/>
        <v>0</v>
      </c>
      <c r="P30" s="197">
        <f t="shared" si="8"/>
        <v>0</v>
      </c>
      <c r="Q30" s="200">
        <f t="shared" si="4"/>
        <v>0</v>
      </c>
      <c r="R30" s="223">
        <f>J30*12%</f>
        <v>2352</v>
      </c>
      <c r="S30" s="188"/>
      <c r="T30" s="188"/>
      <c r="U30" s="20">
        <v>21</v>
      </c>
      <c r="V30" s="20">
        <v>2</v>
      </c>
      <c r="W30" s="215">
        <f t="shared" si="6"/>
        <v>90.93</v>
      </c>
      <c r="X30" s="20">
        <f t="shared" si="9"/>
        <v>183428</v>
      </c>
      <c r="Y30" s="20">
        <f>X30/W30</f>
        <v>2017.2440338722092</v>
      </c>
      <c r="Z30" s="29" t="s">
        <v>1193</v>
      </c>
      <c r="AA30" s="21">
        <f>170200</f>
        <v>170200</v>
      </c>
      <c r="AB30" s="21">
        <f>5670+2268+3402</f>
        <v>11340</v>
      </c>
      <c r="AC30" s="20">
        <v>170200</v>
      </c>
      <c r="AD30" s="29" t="s">
        <v>344</v>
      </c>
      <c r="AE30" s="20"/>
      <c r="AF30" s="29" t="s">
        <v>1409</v>
      </c>
      <c r="AG30" s="76">
        <v>39814</v>
      </c>
      <c r="AH30" s="259" t="s">
        <v>1189</v>
      </c>
      <c r="AI30" s="76">
        <v>40778</v>
      </c>
      <c r="AJ30" s="20"/>
    </row>
    <row r="31" spans="1:36" ht="11.25">
      <c r="A31" s="29"/>
      <c r="B31" s="19"/>
      <c r="C31" s="236"/>
      <c r="D31" s="188"/>
      <c r="E31" s="195"/>
      <c r="F31" s="20"/>
      <c r="G31" s="20"/>
      <c r="H31" s="20"/>
      <c r="I31" s="200"/>
      <c r="J31" s="197"/>
      <c r="K31" s="197"/>
      <c r="L31" s="197"/>
      <c r="M31" s="20"/>
      <c r="N31" s="29"/>
      <c r="O31" s="197"/>
      <c r="P31" s="197"/>
      <c r="Q31" s="200"/>
      <c r="R31" s="223"/>
      <c r="S31" s="188"/>
      <c r="T31" s="188"/>
      <c r="U31" s="20"/>
      <c r="V31" s="20"/>
      <c r="W31" s="215"/>
      <c r="X31" s="20"/>
      <c r="Y31" s="20"/>
      <c r="Z31" s="29"/>
      <c r="AA31" s="21"/>
      <c r="AB31" s="21"/>
      <c r="AC31" s="20"/>
      <c r="AD31" s="29"/>
      <c r="AE31" s="20"/>
      <c r="AF31" s="29"/>
      <c r="AG31" s="76"/>
      <c r="AH31" s="259"/>
      <c r="AI31" s="76"/>
      <c r="AJ31" s="20"/>
    </row>
    <row r="32" spans="1:36" s="183" customFormat="1" ht="11.25">
      <c r="A32" s="192" t="s">
        <v>1469</v>
      </c>
      <c r="B32" s="25"/>
      <c r="C32" s="237"/>
      <c r="D32" s="26"/>
      <c r="E32" s="26"/>
      <c r="F32" s="258">
        <f>SUM(F23:F31)</f>
        <v>14840.7</v>
      </c>
      <c r="G32" s="258">
        <f>SUM(G23:G31)</f>
        <v>1260959.7</v>
      </c>
      <c r="H32" s="258">
        <f aca="true" t="shared" si="11" ref="H32:O32">SUM(H23:H31)</f>
        <v>0</v>
      </c>
      <c r="I32" s="258">
        <f t="shared" si="11"/>
        <v>1261100</v>
      </c>
      <c r="J32" s="258"/>
      <c r="K32" s="258">
        <f t="shared" si="11"/>
        <v>19600</v>
      </c>
      <c r="L32" s="258">
        <f t="shared" si="11"/>
        <v>24696</v>
      </c>
      <c r="M32" s="258">
        <f t="shared" si="11"/>
        <v>29400</v>
      </c>
      <c r="N32" s="192" t="s">
        <v>1469</v>
      </c>
      <c r="O32" s="258">
        <f t="shared" si="11"/>
        <v>2352</v>
      </c>
      <c r="P32" s="258">
        <f>SUM(P23:P31)</f>
        <v>0</v>
      </c>
      <c r="Q32" s="258">
        <f>SUM(Q23:Q31)</f>
        <v>4900</v>
      </c>
      <c r="R32" s="258">
        <f>SUM(R23:R31)</f>
        <v>2352</v>
      </c>
      <c r="S32" s="258">
        <f>SUM(S23:S31)</f>
        <v>0</v>
      </c>
      <c r="T32" s="258">
        <f>SUM(T23:T31)</f>
        <v>0</v>
      </c>
      <c r="U32" s="26"/>
      <c r="V32" s="26"/>
      <c r="W32" s="216">
        <f t="shared" si="6"/>
        <v>0</v>
      </c>
      <c r="X32" s="26"/>
      <c r="Y32" s="26"/>
      <c r="Z32" s="192" t="s">
        <v>1469</v>
      </c>
      <c r="AA32" s="31">
        <f>SUM(AA23:AA30)</f>
        <v>1076800</v>
      </c>
      <c r="AB32" s="31">
        <f>SUM(AB23:AB30)</f>
        <v>76923</v>
      </c>
      <c r="AC32" s="26">
        <f>SUM(AC23:AC30)</f>
        <v>1186000</v>
      </c>
      <c r="AD32" s="30"/>
      <c r="AE32" s="26">
        <f>SUM(AE23:AE30)</f>
        <v>0</v>
      </c>
      <c r="AF32" s="30"/>
      <c r="AG32" s="35"/>
      <c r="AH32" s="260"/>
      <c r="AI32" s="25"/>
      <c r="AJ32" s="26">
        <f>SUM(AJ23:AJ31)</f>
        <v>505500</v>
      </c>
    </row>
    <row r="33" spans="1:36" ht="11.25">
      <c r="A33" s="192"/>
      <c r="B33" s="19"/>
      <c r="C33" s="23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92"/>
      <c r="O33" s="20"/>
      <c r="P33" s="20"/>
      <c r="Q33" s="20"/>
      <c r="R33" s="188"/>
      <c r="S33" s="188"/>
      <c r="T33" s="188"/>
      <c r="U33" s="20"/>
      <c r="V33" s="20"/>
      <c r="W33" s="215"/>
      <c r="X33" s="20"/>
      <c r="Y33" s="20"/>
      <c r="Z33" s="192"/>
      <c r="AA33" s="21"/>
      <c r="AB33" s="21"/>
      <c r="AC33" s="20"/>
      <c r="AD33" s="29"/>
      <c r="AE33" s="20"/>
      <c r="AF33" s="29"/>
      <c r="AG33" s="34"/>
      <c r="AH33" s="259"/>
      <c r="AI33" s="19"/>
      <c r="AJ33" s="20"/>
    </row>
    <row r="34" spans="1:36" ht="11.25">
      <c r="A34" s="191" t="s">
        <v>540</v>
      </c>
      <c r="B34" s="19" t="s">
        <v>375</v>
      </c>
      <c r="C34" s="236">
        <v>1.08</v>
      </c>
      <c r="D34" s="188">
        <v>114600</v>
      </c>
      <c r="E34" s="195">
        <f aca="true" t="shared" si="12" ref="E34:E44">D34*C34</f>
        <v>123768.00000000001</v>
      </c>
      <c r="F34" s="20">
        <f>E34*5%</f>
        <v>6188.4000000000015</v>
      </c>
      <c r="G34" s="20">
        <f t="shared" si="2"/>
        <v>129956.40000000002</v>
      </c>
      <c r="H34" s="20"/>
      <c r="I34" s="200">
        <v>130000</v>
      </c>
      <c r="J34" s="197">
        <v>19600</v>
      </c>
      <c r="K34" s="197">
        <f aca="true" t="shared" si="13" ref="K34:K44">J34*0%</f>
        <v>0</v>
      </c>
      <c r="L34" s="197">
        <f aca="true" t="shared" si="14" ref="L34:L44">J34*18%</f>
        <v>3528</v>
      </c>
      <c r="M34" s="20">
        <f>J34*0%</f>
        <v>0</v>
      </c>
      <c r="N34" s="191" t="s">
        <v>540</v>
      </c>
      <c r="O34" s="197">
        <f>J34*0%</f>
        <v>0</v>
      </c>
      <c r="P34" s="197">
        <f>J34*0%</f>
        <v>0</v>
      </c>
      <c r="Q34" s="200">
        <f aca="true" t="shared" si="15" ref="Q34:Q44">J34*0%</f>
        <v>0</v>
      </c>
      <c r="R34" s="223">
        <f aca="true" t="shared" si="16" ref="R34:R43">J34*0%</f>
        <v>0</v>
      </c>
      <c r="S34" s="188"/>
      <c r="T34" s="188"/>
      <c r="U34" s="20">
        <v>20</v>
      </c>
      <c r="V34" s="20"/>
      <c r="W34" s="215">
        <f t="shared" si="6"/>
        <v>86.6</v>
      </c>
      <c r="X34" s="20">
        <f aca="true" t="shared" si="17" ref="X34:X44">I34+L34</f>
        <v>133528</v>
      </c>
      <c r="Y34" s="20"/>
      <c r="Z34" s="191" t="s">
        <v>540</v>
      </c>
      <c r="AA34" s="21">
        <v>127000</v>
      </c>
      <c r="AB34" s="21">
        <f>5670+3402</f>
        <v>9072</v>
      </c>
      <c r="AC34" s="20">
        <v>127000</v>
      </c>
      <c r="AD34" s="29" t="s">
        <v>1190</v>
      </c>
      <c r="AE34" s="20">
        <v>7500</v>
      </c>
      <c r="AF34" s="29" t="s">
        <v>1389</v>
      </c>
      <c r="AG34" s="76">
        <v>39448</v>
      </c>
      <c r="AH34" s="259" t="s">
        <v>780</v>
      </c>
      <c r="AI34" s="76">
        <v>46615</v>
      </c>
      <c r="AJ34" s="20"/>
    </row>
    <row r="35" spans="1:36" ht="11.25">
      <c r="A35" s="191" t="s">
        <v>529</v>
      </c>
      <c r="B35" s="19" t="s">
        <v>615</v>
      </c>
      <c r="C35" s="236">
        <v>1.42</v>
      </c>
      <c r="D35" s="188">
        <v>114600</v>
      </c>
      <c r="E35" s="195">
        <f t="shared" si="12"/>
        <v>162732</v>
      </c>
      <c r="F35" s="20">
        <f>E35*5%</f>
        <v>8136.6</v>
      </c>
      <c r="G35" s="20">
        <f t="shared" si="2"/>
        <v>170868.6</v>
      </c>
      <c r="H35" s="20"/>
      <c r="I35" s="200">
        <v>170900</v>
      </c>
      <c r="J35" s="197">
        <v>19600</v>
      </c>
      <c r="K35" s="197">
        <f t="shared" si="13"/>
        <v>0</v>
      </c>
      <c r="L35" s="197">
        <f t="shared" si="14"/>
        <v>3528</v>
      </c>
      <c r="M35" s="20">
        <f>J35*30%</f>
        <v>5880</v>
      </c>
      <c r="N35" s="191" t="s">
        <v>529</v>
      </c>
      <c r="O35" s="197">
        <f aca="true" t="shared" si="18" ref="O35:O44">J35*0%</f>
        <v>0</v>
      </c>
      <c r="P35" s="197">
        <f aca="true" t="shared" si="19" ref="P35:P44">J35*0%</f>
        <v>0</v>
      </c>
      <c r="Q35" s="200">
        <f t="shared" si="15"/>
        <v>0</v>
      </c>
      <c r="R35" s="223">
        <f t="shared" si="16"/>
        <v>0</v>
      </c>
      <c r="S35" s="188">
        <v>1400</v>
      </c>
      <c r="T35" s="188"/>
      <c r="U35" s="20">
        <v>20</v>
      </c>
      <c r="V35" s="20">
        <v>1</v>
      </c>
      <c r="W35" s="215">
        <f t="shared" si="6"/>
        <v>86.6</v>
      </c>
      <c r="X35" s="20">
        <f t="shared" si="17"/>
        <v>174428</v>
      </c>
      <c r="Y35" s="20"/>
      <c r="Z35" s="191" t="s">
        <v>529</v>
      </c>
      <c r="AA35" s="21">
        <v>161100</v>
      </c>
      <c r="AB35" s="21">
        <f>5670+3402+1400</f>
        <v>10472</v>
      </c>
      <c r="AC35" s="20">
        <v>161100</v>
      </c>
      <c r="AD35" s="207" t="s">
        <v>378</v>
      </c>
      <c r="AE35" s="20"/>
      <c r="AF35" s="29" t="s">
        <v>1391</v>
      </c>
      <c r="AG35" s="76">
        <v>40179</v>
      </c>
      <c r="AH35" s="259" t="s">
        <v>780</v>
      </c>
      <c r="AI35" s="263">
        <v>39033</v>
      </c>
      <c r="AJ35" s="20"/>
    </row>
    <row r="36" spans="1:36" ht="11.25">
      <c r="A36" s="191" t="s">
        <v>530</v>
      </c>
      <c r="B36" s="19" t="s">
        <v>1386</v>
      </c>
      <c r="C36" s="236">
        <v>1.57</v>
      </c>
      <c r="D36" s="188">
        <v>114600</v>
      </c>
      <c r="E36" s="195">
        <f t="shared" si="12"/>
        <v>179922</v>
      </c>
      <c r="F36" s="20"/>
      <c r="G36" s="20">
        <f t="shared" si="2"/>
        <v>179922</v>
      </c>
      <c r="H36" s="20"/>
      <c r="I36" s="200">
        <v>179900</v>
      </c>
      <c r="J36" s="197">
        <v>19600</v>
      </c>
      <c r="K36" s="197">
        <f>J36*100%</f>
        <v>19600</v>
      </c>
      <c r="L36" s="197">
        <f t="shared" si="14"/>
        <v>3528</v>
      </c>
      <c r="M36" s="20">
        <f>J36*30%</f>
        <v>5880</v>
      </c>
      <c r="N36" s="191" t="s">
        <v>530</v>
      </c>
      <c r="O36" s="197">
        <f t="shared" si="18"/>
        <v>0</v>
      </c>
      <c r="P36" s="197">
        <f t="shared" si="19"/>
        <v>0</v>
      </c>
      <c r="Q36" s="200">
        <f t="shared" si="15"/>
        <v>0</v>
      </c>
      <c r="R36" s="223">
        <f t="shared" si="16"/>
        <v>0</v>
      </c>
      <c r="S36" s="188"/>
      <c r="T36" s="188"/>
      <c r="U36" s="20">
        <v>21</v>
      </c>
      <c r="V36" s="20">
        <v>7</v>
      </c>
      <c r="W36" s="215">
        <f t="shared" si="6"/>
        <v>90.93</v>
      </c>
      <c r="X36" s="20">
        <f t="shared" si="17"/>
        <v>183428</v>
      </c>
      <c r="Y36" s="20"/>
      <c r="Z36" s="191" t="s">
        <v>530</v>
      </c>
      <c r="AA36" s="21">
        <f>170200</f>
        <v>170200</v>
      </c>
      <c r="AB36" s="21">
        <f>18900+5670+3402</f>
        <v>27972</v>
      </c>
      <c r="AC36" s="20">
        <v>170200</v>
      </c>
      <c r="AD36" s="207" t="s">
        <v>378</v>
      </c>
      <c r="AE36" s="20"/>
      <c r="AF36" s="29" t="s">
        <v>1392</v>
      </c>
      <c r="AG36" s="76">
        <v>40179</v>
      </c>
      <c r="AH36" s="259" t="s">
        <v>1189</v>
      </c>
      <c r="AI36" s="76">
        <v>40787</v>
      </c>
      <c r="AJ36" s="20"/>
    </row>
    <row r="37" spans="1:36" ht="11.25">
      <c r="A37" s="191" t="s">
        <v>531</v>
      </c>
      <c r="B37" s="19" t="s">
        <v>375</v>
      </c>
      <c r="C37" s="236">
        <v>1.08</v>
      </c>
      <c r="D37" s="188">
        <v>114600</v>
      </c>
      <c r="E37" s="195">
        <f t="shared" si="12"/>
        <v>123768.00000000001</v>
      </c>
      <c r="F37" s="20"/>
      <c r="G37" s="20">
        <f t="shared" si="2"/>
        <v>123768.00000000001</v>
      </c>
      <c r="H37" s="20"/>
      <c r="I37" s="200">
        <v>123800</v>
      </c>
      <c r="J37" s="197">
        <v>19600</v>
      </c>
      <c r="K37" s="197">
        <f t="shared" si="13"/>
        <v>0</v>
      </c>
      <c r="L37" s="197">
        <f t="shared" si="14"/>
        <v>3528</v>
      </c>
      <c r="M37" s="20">
        <f>J37*30%</f>
        <v>5880</v>
      </c>
      <c r="N37" s="191" t="s">
        <v>531</v>
      </c>
      <c r="O37" s="197">
        <f t="shared" si="18"/>
        <v>0</v>
      </c>
      <c r="P37" s="197">
        <f t="shared" si="19"/>
        <v>0</v>
      </c>
      <c r="Q37" s="200">
        <f t="shared" si="15"/>
        <v>0</v>
      </c>
      <c r="R37" s="223">
        <f t="shared" si="16"/>
        <v>0</v>
      </c>
      <c r="S37" s="188"/>
      <c r="T37" s="188"/>
      <c r="U37" s="20">
        <v>20</v>
      </c>
      <c r="V37" s="20">
        <v>1</v>
      </c>
      <c r="W37" s="215">
        <f t="shared" si="6"/>
        <v>86.6</v>
      </c>
      <c r="X37" s="20">
        <f t="shared" si="17"/>
        <v>127328</v>
      </c>
      <c r="Y37" s="20"/>
      <c r="Z37" s="191" t="s">
        <v>531</v>
      </c>
      <c r="AA37" s="21">
        <v>116500</v>
      </c>
      <c r="AB37" s="21">
        <f>5670+3402</f>
        <v>9072</v>
      </c>
      <c r="AC37" s="20">
        <v>116500</v>
      </c>
      <c r="AD37" s="29" t="s">
        <v>1190</v>
      </c>
      <c r="AE37" s="20"/>
      <c r="AF37" s="29"/>
      <c r="AG37" s="76">
        <v>40179</v>
      </c>
      <c r="AH37" s="259" t="s">
        <v>780</v>
      </c>
      <c r="AI37" s="76">
        <v>46257</v>
      </c>
      <c r="AJ37" s="20"/>
    </row>
    <row r="38" spans="1:36" ht="11.25">
      <c r="A38" s="191" t="s">
        <v>532</v>
      </c>
      <c r="B38" s="19" t="s">
        <v>1386</v>
      </c>
      <c r="C38" s="236">
        <v>1.57</v>
      </c>
      <c r="D38" s="188">
        <v>114600</v>
      </c>
      <c r="E38" s="195">
        <f t="shared" si="12"/>
        <v>179922</v>
      </c>
      <c r="F38" s="20">
        <f>E38*5%</f>
        <v>8996.1</v>
      </c>
      <c r="G38" s="20">
        <f t="shared" si="2"/>
        <v>188918.1</v>
      </c>
      <c r="H38" s="20"/>
      <c r="I38" s="200">
        <v>188900</v>
      </c>
      <c r="J38" s="197">
        <v>19600</v>
      </c>
      <c r="K38" s="197">
        <f t="shared" si="13"/>
        <v>0</v>
      </c>
      <c r="L38" s="197">
        <f t="shared" si="14"/>
        <v>3528</v>
      </c>
      <c r="M38" s="20">
        <f>J38*30%</f>
        <v>5880</v>
      </c>
      <c r="N38" s="191" t="s">
        <v>532</v>
      </c>
      <c r="O38" s="197">
        <f>J38*12%</f>
        <v>2352</v>
      </c>
      <c r="P38" s="197">
        <f t="shared" si="19"/>
        <v>0</v>
      </c>
      <c r="Q38" s="200">
        <f t="shared" si="15"/>
        <v>0</v>
      </c>
      <c r="R38" s="223">
        <f>J38*12%</f>
        <v>2352</v>
      </c>
      <c r="S38" s="188"/>
      <c r="T38" s="188"/>
      <c r="U38" s="20">
        <v>20</v>
      </c>
      <c r="V38" s="20">
        <v>1</v>
      </c>
      <c r="W38" s="215">
        <f t="shared" si="6"/>
        <v>86.6</v>
      </c>
      <c r="X38" s="20">
        <f t="shared" si="17"/>
        <v>192428</v>
      </c>
      <c r="Y38" s="20"/>
      <c r="Z38" s="191" t="s">
        <v>532</v>
      </c>
      <c r="AA38" s="21">
        <f>184600</f>
        <v>184600</v>
      </c>
      <c r="AB38" s="21">
        <f>5670+2268+3402+2268</f>
        <v>13608</v>
      </c>
      <c r="AC38" s="20">
        <v>184600</v>
      </c>
      <c r="AD38" s="207" t="s">
        <v>378</v>
      </c>
      <c r="AE38" s="20"/>
      <c r="AF38" s="29" t="s">
        <v>1399</v>
      </c>
      <c r="AG38" s="76">
        <v>39448</v>
      </c>
      <c r="AH38" s="259" t="s">
        <v>1189</v>
      </c>
      <c r="AI38" s="76">
        <v>40483</v>
      </c>
      <c r="AJ38" s="20"/>
    </row>
    <row r="39" spans="1:36" ht="11.25">
      <c r="A39" s="191" t="s">
        <v>1527</v>
      </c>
      <c r="B39" s="19" t="s">
        <v>1385</v>
      </c>
      <c r="C39" s="236">
        <v>1.27</v>
      </c>
      <c r="D39" s="188">
        <v>114600</v>
      </c>
      <c r="E39" s="195">
        <f t="shared" si="12"/>
        <v>145542</v>
      </c>
      <c r="F39" s="20"/>
      <c r="G39" s="20">
        <f t="shared" si="2"/>
        <v>145542</v>
      </c>
      <c r="H39" s="20"/>
      <c r="I39" s="200">
        <v>145500</v>
      </c>
      <c r="J39" s="197">
        <v>19600</v>
      </c>
      <c r="K39" s="197">
        <f t="shared" si="13"/>
        <v>0</v>
      </c>
      <c r="L39" s="197">
        <f t="shared" si="14"/>
        <v>3528</v>
      </c>
      <c r="M39" s="20">
        <f>J39*30%</f>
        <v>5880</v>
      </c>
      <c r="N39" s="191" t="s">
        <v>1527</v>
      </c>
      <c r="O39" s="197">
        <f t="shared" si="18"/>
        <v>0</v>
      </c>
      <c r="P39" s="197">
        <f t="shared" si="19"/>
        <v>0</v>
      </c>
      <c r="Q39" s="200">
        <f t="shared" si="15"/>
        <v>0</v>
      </c>
      <c r="R39" s="223">
        <f t="shared" si="16"/>
        <v>0</v>
      </c>
      <c r="S39" s="188"/>
      <c r="T39" s="188"/>
      <c r="U39" s="20">
        <v>21</v>
      </c>
      <c r="V39" s="20">
        <v>1</v>
      </c>
      <c r="W39" s="215">
        <f t="shared" si="6"/>
        <v>90.93</v>
      </c>
      <c r="X39" s="20">
        <f t="shared" si="17"/>
        <v>149028</v>
      </c>
      <c r="Y39" s="20"/>
      <c r="Z39" s="191" t="s">
        <v>1527</v>
      </c>
      <c r="AA39" s="21">
        <v>136600</v>
      </c>
      <c r="AB39" s="21">
        <f>5670+3402</f>
        <v>9072</v>
      </c>
      <c r="AC39" s="20">
        <v>136600</v>
      </c>
      <c r="AD39" s="29" t="s">
        <v>1190</v>
      </c>
      <c r="AE39" s="20">
        <v>4500</v>
      </c>
      <c r="AF39" s="29"/>
      <c r="AG39" s="76">
        <v>40179</v>
      </c>
      <c r="AH39" s="259"/>
      <c r="AI39" s="19"/>
      <c r="AJ39" s="20"/>
    </row>
    <row r="40" spans="1:36" ht="11.25">
      <c r="A40" s="191" t="s">
        <v>533</v>
      </c>
      <c r="B40" s="19" t="s">
        <v>375</v>
      </c>
      <c r="C40" s="236">
        <v>1.08</v>
      </c>
      <c r="D40" s="188">
        <v>114600</v>
      </c>
      <c r="E40" s="195">
        <f t="shared" si="12"/>
        <v>123768.00000000001</v>
      </c>
      <c r="F40" s="20"/>
      <c r="G40" s="20">
        <f t="shared" si="2"/>
        <v>123768.00000000001</v>
      </c>
      <c r="H40" s="20"/>
      <c r="I40" s="200">
        <v>123800</v>
      </c>
      <c r="J40" s="197">
        <v>19600</v>
      </c>
      <c r="K40" s="197">
        <f t="shared" si="13"/>
        <v>0</v>
      </c>
      <c r="L40" s="197">
        <f t="shared" si="14"/>
        <v>3528</v>
      </c>
      <c r="M40" s="20">
        <f>J40*0%</f>
        <v>0</v>
      </c>
      <c r="N40" s="191" t="s">
        <v>533</v>
      </c>
      <c r="O40" s="197">
        <f t="shared" si="18"/>
        <v>0</v>
      </c>
      <c r="P40" s="197">
        <f t="shared" si="19"/>
        <v>0</v>
      </c>
      <c r="Q40" s="200">
        <f t="shared" si="15"/>
        <v>0</v>
      </c>
      <c r="R40" s="223">
        <f t="shared" si="16"/>
        <v>0</v>
      </c>
      <c r="S40" s="188"/>
      <c r="T40" s="188"/>
      <c r="U40" s="20">
        <v>20</v>
      </c>
      <c r="V40" s="20"/>
      <c r="W40" s="215">
        <f t="shared" si="6"/>
        <v>86.6</v>
      </c>
      <c r="X40" s="20">
        <f t="shared" si="17"/>
        <v>127328</v>
      </c>
      <c r="Y40" s="20"/>
      <c r="Z40" s="191" t="s">
        <v>533</v>
      </c>
      <c r="AA40" s="21">
        <f>116500</f>
        <v>116500</v>
      </c>
      <c r="AB40" s="21">
        <v>3402</v>
      </c>
      <c r="AC40" s="20">
        <v>116500</v>
      </c>
      <c r="AD40" s="29" t="s">
        <v>1532</v>
      </c>
      <c r="AE40" s="20">
        <v>15000</v>
      </c>
      <c r="AF40" s="29" t="s">
        <v>1401</v>
      </c>
      <c r="AG40" s="76">
        <v>40179</v>
      </c>
      <c r="AH40" s="259" t="s">
        <v>780</v>
      </c>
      <c r="AI40" s="76">
        <v>46252</v>
      </c>
      <c r="AJ40" s="20"/>
    </row>
    <row r="41" spans="1:36" ht="11.25">
      <c r="A41" s="191" t="s">
        <v>1520</v>
      </c>
      <c r="B41" s="19" t="s">
        <v>1386</v>
      </c>
      <c r="C41" s="236">
        <v>1.57</v>
      </c>
      <c r="D41" s="188">
        <v>114600</v>
      </c>
      <c r="E41" s="195">
        <f t="shared" si="12"/>
        <v>179922</v>
      </c>
      <c r="F41" s="20"/>
      <c r="G41" s="20">
        <f t="shared" si="2"/>
        <v>179922</v>
      </c>
      <c r="H41" s="20">
        <v>3420</v>
      </c>
      <c r="I41" s="200">
        <v>188300</v>
      </c>
      <c r="J41" s="197">
        <v>19600</v>
      </c>
      <c r="K41" s="197">
        <f t="shared" si="13"/>
        <v>0</v>
      </c>
      <c r="L41" s="197">
        <f t="shared" si="14"/>
        <v>3528</v>
      </c>
      <c r="M41" s="20">
        <f>J41*0%</f>
        <v>0</v>
      </c>
      <c r="N41" s="191" t="s">
        <v>1520</v>
      </c>
      <c r="O41" s="197">
        <f t="shared" si="18"/>
        <v>0</v>
      </c>
      <c r="P41" s="197">
        <f>J41*50%</f>
        <v>9800</v>
      </c>
      <c r="Q41" s="200">
        <f t="shared" si="15"/>
        <v>0</v>
      </c>
      <c r="R41" s="223">
        <f>J41*12%</f>
        <v>2352</v>
      </c>
      <c r="S41" s="188"/>
      <c r="T41" s="188">
        <v>1000</v>
      </c>
      <c r="U41" s="20">
        <v>23</v>
      </c>
      <c r="V41" s="20"/>
      <c r="W41" s="215">
        <f t="shared" si="6"/>
        <v>99.59</v>
      </c>
      <c r="X41" s="20">
        <f t="shared" si="17"/>
        <v>191828</v>
      </c>
      <c r="Y41" s="20"/>
      <c r="Z41" s="191" t="s">
        <v>1520</v>
      </c>
      <c r="AA41" s="21">
        <f>175880+3420</f>
        <v>179300</v>
      </c>
      <c r="AB41" s="21">
        <f>2268+3402+9450+1000</f>
        <v>16120</v>
      </c>
      <c r="AC41" s="20">
        <v>179300</v>
      </c>
      <c r="AD41" s="207" t="s">
        <v>378</v>
      </c>
      <c r="AE41" s="20"/>
      <c r="AF41" s="29" t="s">
        <v>1402</v>
      </c>
      <c r="AG41" s="76">
        <v>39448</v>
      </c>
      <c r="AH41" s="259" t="s">
        <v>1189</v>
      </c>
      <c r="AI41" s="263">
        <v>39234</v>
      </c>
      <c r="AJ41" s="20">
        <v>899500</v>
      </c>
    </row>
    <row r="42" spans="1:36" ht="11.25">
      <c r="A42" s="191" t="s">
        <v>1521</v>
      </c>
      <c r="B42" s="19" t="s">
        <v>1526</v>
      </c>
      <c r="C42" s="236">
        <v>1.52</v>
      </c>
      <c r="D42" s="188">
        <v>114600</v>
      </c>
      <c r="E42" s="195">
        <f t="shared" si="12"/>
        <v>174192</v>
      </c>
      <c r="F42" s="20"/>
      <c r="G42" s="20">
        <f t="shared" si="2"/>
        <v>174192</v>
      </c>
      <c r="H42" s="20"/>
      <c r="I42" s="200">
        <v>174200</v>
      </c>
      <c r="J42" s="197">
        <v>19600</v>
      </c>
      <c r="K42" s="197">
        <f t="shared" si="13"/>
        <v>0</v>
      </c>
      <c r="L42" s="197">
        <f t="shared" si="14"/>
        <v>3528</v>
      </c>
      <c r="M42" s="20">
        <f>J42*30%</f>
        <v>5880</v>
      </c>
      <c r="N42" s="191" t="s">
        <v>1521</v>
      </c>
      <c r="O42" s="197">
        <f t="shared" si="18"/>
        <v>0</v>
      </c>
      <c r="P42" s="197">
        <f t="shared" si="19"/>
        <v>0</v>
      </c>
      <c r="Q42" s="200">
        <f t="shared" si="15"/>
        <v>0</v>
      </c>
      <c r="R42" s="223">
        <f t="shared" si="16"/>
        <v>0</v>
      </c>
      <c r="S42" s="188"/>
      <c r="T42" s="188"/>
      <c r="U42" s="20">
        <v>21</v>
      </c>
      <c r="V42" s="20">
        <v>1</v>
      </c>
      <c r="W42" s="215">
        <f t="shared" si="6"/>
        <v>90.93</v>
      </c>
      <c r="X42" s="20">
        <f t="shared" si="17"/>
        <v>177728</v>
      </c>
      <c r="Y42" s="20"/>
      <c r="Z42" s="191" t="s">
        <v>1521</v>
      </c>
      <c r="AA42" s="21">
        <v>164600</v>
      </c>
      <c r="AB42" s="21">
        <f>5670+3402</f>
        <v>9072</v>
      </c>
      <c r="AC42" s="20">
        <v>164600</v>
      </c>
      <c r="AD42" s="29" t="s">
        <v>1190</v>
      </c>
      <c r="AE42" s="20"/>
      <c r="AF42" s="29" t="s">
        <v>1406</v>
      </c>
      <c r="AG42" s="76">
        <v>40179</v>
      </c>
      <c r="AH42" s="259" t="s">
        <v>1189</v>
      </c>
      <c r="AI42" s="76">
        <v>42297</v>
      </c>
      <c r="AJ42" s="20"/>
    </row>
    <row r="43" spans="1:36" ht="11.25">
      <c r="A43" s="191" t="s">
        <v>616</v>
      </c>
      <c r="B43" s="19" t="s">
        <v>1526</v>
      </c>
      <c r="C43" s="236">
        <v>1.52</v>
      </c>
      <c r="D43" s="188">
        <v>114600</v>
      </c>
      <c r="E43" s="195">
        <f t="shared" si="12"/>
        <v>174192</v>
      </c>
      <c r="F43" s="20">
        <f>E43*8%</f>
        <v>13935.36</v>
      </c>
      <c r="G43" s="20">
        <f t="shared" si="2"/>
        <v>188127.36</v>
      </c>
      <c r="H43" s="20"/>
      <c r="I43" s="200">
        <v>188100</v>
      </c>
      <c r="J43" s="197">
        <v>19600</v>
      </c>
      <c r="K43" s="197">
        <f>J43*300%</f>
        <v>58800</v>
      </c>
      <c r="L43" s="197">
        <f t="shared" si="14"/>
        <v>3528</v>
      </c>
      <c r="M43" s="20">
        <f>J43*0%</f>
        <v>0</v>
      </c>
      <c r="N43" s="191" t="s">
        <v>1522</v>
      </c>
      <c r="O43" s="197">
        <f t="shared" si="18"/>
        <v>0</v>
      </c>
      <c r="P43" s="197">
        <f t="shared" si="19"/>
        <v>0</v>
      </c>
      <c r="Q43" s="200">
        <f t="shared" si="15"/>
        <v>0</v>
      </c>
      <c r="R43" s="223">
        <f t="shared" si="16"/>
        <v>0</v>
      </c>
      <c r="S43" s="188"/>
      <c r="T43" s="188"/>
      <c r="U43" s="20">
        <v>20</v>
      </c>
      <c r="V43" s="20">
        <v>8</v>
      </c>
      <c r="W43" s="215">
        <f t="shared" si="6"/>
        <v>86.6</v>
      </c>
      <c r="X43" s="20">
        <f t="shared" si="17"/>
        <v>191628</v>
      </c>
      <c r="Y43" s="20"/>
      <c r="Z43" s="191" t="s">
        <v>1522</v>
      </c>
      <c r="AA43" s="21">
        <v>177800</v>
      </c>
      <c r="AB43" s="21">
        <f>56700+3402</f>
        <v>60102</v>
      </c>
      <c r="AC43" s="20">
        <v>177800</v>
      </c>
      <c r="AD43" s="207" t="s">
        <v>378</v>
      </c>
      <c r="AE43" s="20">
        <v>10000</v>
      </c>
      <c r="AF43" s="29"/>
      <c r="AG43" s="76">
        <v>39814</v>
      </c>
      <c r="AH43" s="259"/>
      <c r="AI43" s="19"/>
      <c r="AJ43" s="20"/>
    </row>
    <row r="44" spans="1:36" ht="11.25">
      <c r="A44" s="191" t="s">
        <v>1523</v>
      </c>
      <c r="B44" s="19" t="s">
        <v>1186</v>
      </c>
      <c r="C44" s="236">
        <v>1.42</v>
      </c>
      <c r="D44" s="188">
        <v>114600</v>
      </c>
      <c r="E44" s="195">
        <f t="shared" si="12"/>
        <v>162732</v>
      </c>
      <c r="F44" s="20"/>
      <c r="G44" s="20">
        <f t="shared" si="2"/>
        <v>162732</v>
      </c>
      <c r="H44" s="20"/>
      <c r="I44" s="200">
        <v>162700</v>
      </c>
      <c r="J44" s="197">
        <v>19600</v>
      </c>
      <c r="K44" s="197">
        <f t="shared" si="13"/>
        <v>0</v>
      </c>
      <c r="L44" s="197">
        <f t="shared" si="14"/>
        <v>3528</v>
      </c>
      <c r="M44" s="20">
        <f>J44*30%</f>
        <v>5880</v>
      </c>
      <c r="N44" s="191" t="s">
        <v>1523</v>
      </c>
      <c r="O44" s="197">
        <f t="shared" si="18"/>
        <v>0</v>
      </c>
      <c r="P44" s="197">
        <f t="shared" si="19"/>
        <v>0</v>
      </c>
      <c r="Q44" s="200">
        <f t="shared" si="15"/>
        <v>0</v>
      </c>
      <c r="R44" s="223">
        <f>J44*12%</f>
        <v>2352</v>
      </c>
      <c r="S44" s="188"/>
      <c r="T44" s="188"/>
      <c r="U44" s="20">
        <v>21</v>
      </c>
      <c r="V44" s="20">
        <v>1</v>
      </c>
      <c r="W44" s="215">
        <f t="shared" si="6"/>
        <v>90.93</v>
      </c>
      <c r="X44" s="20">
        <f t="shared" si="17"/>
        <v>166228</v>
      </c>
      <c r="Y44" s="20"/>
      <c r="Z44" s="191" t="s">
        <v>1523</v>
      </c>
      <c r="AA44" s="21">
        <v>159000</v>
      </c>
      <c r="AB44" s="21">
        <f>5670+3402</f>
        <v>9072</v>
      </c>
      <c r="AC44" s="20">
        <v>159000</v>
      </c>
      <c r="AD44" s="29" t="s">
        <v>1190</v>
      </c>
      <c r="AE44" s="20">
        <v>4500</v>
      </c>
      <c r="AF44" s="29" t="s">
        <v>1412</v>
      </c>
      <c r="AG44" s="76">
        <v>39448</v>
      </c>
      <c r="AH44" s="259" t="s">
        <v>1180</v>
      </c>
      <c r="AI44" s="76">
        <v>39517</v>
      </c>
      <c r="AJ44" s="20"/>
    </row>
    <row r="45" spans="1:36" ht="11.25">
      <c r="A45" s="191"/>
      <c r="B45" s="19"/>
      <c r="C45" s="236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91"/>
      <c r="O45" s="20"/>
      <c r="P45" s="20"/>
      <c r="Q45" s="20"/>
      <c r="R45" s="188"/>
      <c r="S45" s="188"/>
      <c r="T45" s="188"/>
      <c r="U45" s="20"/>
      <c r="V45" s="20"/>
      <c r="W45" s="215"/>
      <c r="X45" s="20"/>
      <c r="Y45" s="20"/>
      <c r="Z45" s="191"/>
      <c r="AA45" s="21"/>
      <c r="AB45" s="21"/>
      <c r="AC45" s="20"/>
      <c r="AD45" s="29"/>
      <c r="AE45" s="20"/>
      <c r="AF45" s="29"/>
      <c r="AG45" s="34"/>
      <c r="AH45" s="259"/>
      <c r="AI45" s="19"/>
      <c r="AJ45" s="20"/>
    </row>
    <row r="46" spans="1:36" s="183" customFormat="1" ht="11.25">
      <c r="A46" s="192" t="s">
        <v>1524</v>
      </c>
      <c r="B46" s="25"/>
      <c r="C46" s="237"/>
      <c r="D46" s="26"/>
      <c r="E46" s="26"/>
      <c r="F46" s="26"/>
      <c r="G46" s="206">
        <f>SUM(G34:G45)</f>
        <v>1767716.46</v>
      </c>
      <c r="H46" s="20">
        <f>SUM(H34:H45)</f>
        <v>3420</v>
      </c>
      <c r="I46" s="26">
        <f>SUM(I34:I45)</f>
        <v>1776100</v>
      </c>
      <c r="J46" s="26"/>
      <c r="K46" s="26">
        <f>SUM(K34:K45)</f>
        <v>78400</v>
      </c>
      <c r="L46" s="26">
        <f>SUM(L34:L45)</f>
        <v>38808</v>
      </c>
      <c r="M46" s="26">
        <f>SUM(M34:M45)</f>
        <v>41160</v>
      </c>
      <c r="N46" s="192" t="s">
        <v>1524</v>
      </c>
      <c r="O46" s="26">
        <f aca="true" t="shared" si="20" ref="O46:T46">SUM(O34:O45)</f>
        <v>2352</v>
      </c>
      <c r="P46" s="26">
        <f t="shared" si="20"/>
        <v>9800</v>
      </c>
      <c r="Q46" s="26">
        <f t="shared" si="20"/>
        <v>0</v>
      </c>
      <c r="R46" s="194">
        <f t="shared" si="20"/>
        <v>7056</v>
      </c>
      <c r="S46" s="194">
        <f t="shared" si="20"/>
        <v>1400</v>
      </c>
      <c r="T46" s="194">
        <f t="shared" si="20"/>
        <v>1000</v>
      </c>
      <c r="U46" s="26"/>
      <c r="V46" s="26"/>
      <c r="W46" s="216"/>
      <c r="X46" s="26"/>
      <c r="Y46" s="26"/>
      <c r="Z46" s="192" t="s">
        <v>1524</v>
      </c>
      <c r="AA46" s="31">
        <f>SUM(AA34:AA45)</f>
        <v>1693200</v>
      </c>
      <c r="AB46" s="31">
        <f>SUM(AB34:AB45)</f>
        <v>177036</v>
      </c>
      <c r="AC46" s="26">
        <f>SUM(AC34:AC45)</f>
        <v>1693200</v>
      </c>
      <c r="AD46" s="30"/>
      <c r="AE46" s="26">
        <f>SUM(AE34:AE45)</f>
        <v>41500</v>
      </c>
      <c r="AF46" s="30"/>
      <c r="AG46" s="35"/>
      <c r="AH46" s="260"/>
      <c r="AI46" s="25"/>
      <c r="AJ46" s="26">
        <f>SUM(AJ34:AJ45)</f>
        <v>899500</v>
      </c>
    </row>
    <row r="47" spans="1:36" s="81" customFormat="1" ht="11.25">
      <c r="A47" s="77" t="s">
        <v>376</v>
      </c>
      <c r="B47" s="78"/>
      <c r="C47" s="239"/>
      <c r="D47" s="79"/>
      <c r="E47" s="79"/>
      <c r="F47" s="79"/>
      <c r="G47" s="79"/>
      <c r="H47" s="79"/>
      <c r="I47" s="79">
        <f>I32+I46</f>
        <v>3037200</v>
      </c>
      <c r="J47" s="79">
        <f aca="true" t="shared" si="21" ref="J47:O47">J32+J46</f>
        <v>0</v>
      </c>
      <c r="K47" s="79">
        <f t="shared" si="21"/>
        <v>98000</v>
      </c>
      <c r="L47" s="79">
        <f t="shared" si="21"/>
        <v>63504</v>
      </c>
      <c r="M47" s="79">
        <f t="shared" si="21"/>
        <v>70560</v>
      </c>
      <c r="N47" s="77" t="s">
        <v>376</v>
      </c>
      <c r="O47" s="79">
        <f t="shared" si="21"/>
        <v>4704</v>
      </c>
      <c r="P47" s="79">
        <f>P32+P46</f>
        <v>9800</v>
      </c>
      <c r="Q47" s="79">
        <f>Q32+Q46</f>
        <v>4900</v>
      </c>
      <c r="R47" s="221">
        <f>R32+R46</f>
        <v>9408</v>
      </c>
      <c r="S47" s="221">
        <f>S32+S46</f>
        <v>1400</v>
      </c>
      <c r="T47" s="221">
        <f>T32+T46</f>
        <v>1000</v>
      </c>
      <c r="U47" s="79">
        <f>SUM(U23:U46)</f>
        <v>374</v>
      </c>
      <c r="V47" s="79">
        <f>SUM(V23:V46)</f>
        <v>35</v>
      </c>
      <c r="W47" s="217"/>
      <c r="X47" s="79"/>
      <c r="Y47" s="79"/>
      <c r="Z47" s="77" t="s">
        <v>376</v>
      </c>
      <c r="AA47" s="79">
        <f>AA32+AA46</f>
        <v>2770000</v>
      </c>
      <c r="AB47" s="79">
        <f>AB32+AB46</f>
        <v>253959</v>
      </c>
      <c r="AC47" s="79">
        <f>AC32+AC46</f>
        <v>2879200</v>
      </c>
      <c r="AD47" s="77"/>
      <c r="AE47" s="79">
        <f>AE32+AE46</f>
        <v>41500</v>
      </c>
      <c r="AF47" s="77"/>
      <c r="AG47" s="80"/>
      <c r="AH47" s="262"/>
      <c r="AI47" s="78"/>
      <c r="AJ47" s="79">
        <f>AJ32+AJ46</f>
        <v>1405000</v>
      </c>
    </row>
    <row r="48" spans="1:36" s="81" customFormat="1" ht="11.25">
      <c r="A48" s="176"/>
      <c r="B48" s="177"/>
      <c r="C48" s="257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O48" s="185"/>
      <c r="P48" s="185"/>
      <c r="Q48" s="185"/>
      <c r="R48" s="222"/>
      <c r="S48" s="222"/>
      <c r="T48" s="222"/>
      <c r="U48" s="185"/>
      <c r="V48" s="185"/>
      <c r="W48" s="186"/>
      <c r="X48" s="185"/>
      <c r="Y48" s="185"/>
      <c r="Z48" s="176"/>
      <c r="AA48" s="185"/>
      <c r="AB48" s="185"/>
      <c r="AC48" s="185"/>
      <c r="AE48" s="185"/>
      <c r="AG48" s="187"/>
      <c r="AH48" s="184"/>
      <c r="AI48" s="184"/>
      <c r="AJ48" s="185"/>
    </row>
  </sheetData>
  <mergeCells count="41">
    <mergeCell ref="AD1:AD5"/>
    <mergeCell ref="AF1:AF5"/>
    <mergeCell ref="AG1:AG5"/>
    <mergeCell ref="AE1:AE5"/>
    <mergeCell ref="Z1:Z5"/>
    <mergeCell ref="AA1:AA5"/>
    <mergeCell ref="AB1:AB5"/>
    <mergeCell ref="AC1:AC5"/>
    <mergeCell ref="R3:R5"/>
    <mergeCell ref="O1:T1"/>
    <mergeCell ref="X1:Y1"/>
    <mergeCell ref="X2:X5"/>
    <mergeCell ref="Y2:Y5"/>
    <mergeCell ref="AH2:AH5"/>
    <mergeCell ref="AI2:AI5"/>
    <mergeCell ref="Q3:Q5"/>
    <mergeCell ref="N1:N5"/>
    <mergeCell ref="U1:U5"/>
    <mergeCell ref="V1:V5"/>
    <mergeCell ref="W1:W5"/>
    <mergeCell ref="O2:T2"/>
    <mergeCell ref="T3:T5"/>
    <mergeCell ref="S3:S5"/>
    <mergeCell ref="D1:M1"/>
    <mergeCell ref="E2:E5"/>
    <mergeCell ref="F2:F5"/>
    <mergeCell ref="G2:G5"/>
    <mergeCell ref="D2:D5"/>
    <mergeCell ref="H2:H5"/>
    <mergeCell ref="I2:I5"/>
    <mergeCell ref="M3:M5"/>
    <mergeCell ref="A1:A5"/>
    <mergeCell ref="B1:B5"/>
    <mergeCell ref="C1:C5"/>
    <mergeCell ref="AJ2:AJ5"/>
    <mergeCell ref="J2:M2"/>
    <mergeCell ref="O3:O5"/>
    <mergeCell ref="P3:P5"/>
    <mergeCell ref="J3:J5"/>
    <mergeCell ref="K3:K5"/>
    <mergeCell ref="L3:L5"/>
  </mergeCells>
  <printOptions horizontalCentered="1"/>
  <pageMargins left="0.31496062992125984" right="0.31496062992125984" top="0.39" bottom="0.38" header="0.18" footer="0.26"/>
  <pageSetup horizontalDpi="600" verticalDpi="600" orientation="landscape" paperSize="9" r:id="rId1"/>
  <headerFooter alignWithMargins="0">
    <oddHeader>&amp;C&amp;"Arial,Félkövér dőlt"KIMUTATÁS A KÖZALKALMAZOTTI BÉREK SZÁMÍTÁSÁHOZ&amp;R&amp;"Arial,Dőlt"&amp;8 9.számú melléklet</oddHeader>
    <oddFooter>&amp;C&amp;"Arial,Dőlt"&amp;8&amp;P. oldal</oddFooter>
  </headerFooter>
  <colBreaks count="1" manualBreakCount="1">
    <brk id="2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21" sqref="E21"/>
    </sheetView>
  </sheetViews>
  <sheetFormatPr defaultColWidth="9.00390625" defaultRowHeight="12.75"/>
  <cols>
    <col min="1" max="1" width="30.00390625" style="37" customWidth="1"/>
    <col min="2" max="2" width="13.125" style="133" customWidth="1"/>
    <col min="3" max="3" width="15.00390625" style="37" customWidth="1"/>
    <col min="4" max="5" width="13.875" style="37" customWidth="1"/>
    <col min="6" max="16384" width="9.125" style="37" customWidth="1"/>
  </cols>
  <sheetData>
    <row r="1" spans="1:5" ht="12" customHeight="1">
      <c r="A1" s="324" t="s">
        <v>504</v>
      </c>
      <c r="B1" s="324" t="s">
        <v>505</v>
      </c>
      <c r="C1" s="359" t="s">
        <v>1207</v>
      </c>
      <c r="D1" s="359" t="s">
        <v>1206</v>
      </c>
      <c r="E1" s="373" t="s">
        <v>506</v>
      </c>
    </row>
    <row r="2" spans="1:5" ht="12">
      <c r="A2" s="325"/>
      <c r="B2" s="325"/>
      <c r="C2" s="360"/>
      <c r="D2" s="360"/>
      <c r="E2" s="437"/>
    </row>
    <row r="3" spans="1:5" ht="12">
      <c r="A3" s="325"/>
      <c r="B3" s="325"/>
      <c r="C3" s="360"/>
      <c r="D3" s="360"/>
      <c r="E3" s="437"/>
    </row>
    <row r="4" spans="1:5" ht="12.75" thickBot="1">
      <c r="A4" s="326"/>
      <c r="B4" s="326"/>
      <c r="C4" s="361"/>
      <c r="D4" s="361"/>
      <c r="E4" s="438"/>
    </row>
    <row r="5" spans="1:5" ht="12.75" thickTop="1">
      <c r="A5" s="41"/>
      <c r="B5" s="43"/>
      <c r="C5" s="41"/>
      <c r="D5" s="41"/>
      <c r="E5" s="44"/>
    </row>
    <row r="6" spans="1:5" ht="12">
      <c r="A6" s="41" t="s">
        <v>1365</v>
      </c>
      <c r="B6" s="43" t="s">
        <v>508</v>
      </c>
      <c r="C6" s="5">
        <v>300000</v>
      </c>
      <c r="D6" s="5">
        <v>300000</v>
      </c>
      <c r="E6" s="44">
        <v>75000</v>
      </c>
    </row>
    <row r="7" spans="1:5" ht="12">
      <c r="A7" s="41" t="s">
        <v>1181</v>
      </c>
      <c r="B7" s="43" t="s">
        <v>1366</v>
      </c>
      <c r="C7" s="5">
        <v>40000</v>
      </c>
      <c r="D7" s="5">
        <v>40000</v>
      </c>
      <c r="E7" s="44"/>
    </row>
    <row r="8" spans="1:5" ht="12">
      <c r="A8" s="41" t="s">
        <v>1367</v>
      </c>
      <c r="B8" s="43" t="s">
        <v>1366</v>
      </c>
      <c r="C8" s="5">
        <v>30000</v>
      </c>
      <c r="D8" s="5">
        <v>30000</v>
      </c>
      <c r="E8" s="44"/>
    </row>
    <row r="9" spans="1:5" ht="12">
      <c r="A9" s="41" t="s">
        <v>1187</v>
      </c>
      <c r="B9" s="43" t="s">
        <v>1366</v>
      </c>
      <c r="C9" s="5">
        <v>30000</v>
      </c>
      <c r="D9" s="5">
        <v>30000</v>
      </c>
      <c r="E9" s="44"/>
    </row>
    <row r="10" spans="1:5" ht="12">
      <c r="A10" s="41" t="s">
        <v>1368</v>
      </c>
      <c r="B10" s="43" t="s">
        <v>1366</v>
      </c>
      <c r="C10" s="5">
        <v>30000</v>
      </c>
      <c r="D10" s="5">
        <v>30000</v>
      </c>
      <c r="E10" s="44"/>
    </row>
    <row r="11" spans="1:5" ht="12">
      <c r="A11" s="41" t="s">
        <v>1191</v>
      </c>
      <c r="B11" s="43" t="s">
        <v>1366</v>
      </c>
      <c r="C11" s="5">
        <v>30000</v>
      </c>
      <c r="D11" s="5">
        <v>30000</v>
      </c>
      <c r="E11" s="44"/>
    </row>
    <row r="12" spans="1:5" ht="12">
      <c r="A12" s="41" t="s">
        <v>1369</v>
      </c>
      <c r="B12" s="43" t="s">
        <v>1366</v>
      </c>
      <c r="C12" s="5">
        <v>30000</v>
      </c>
      <c r="D12" s="5">
        <v>30000</v>
      </c>
      <c r="E12" s="44"/>
    </row>
    <row r="13" spans="1:5" ht="12">
      <c r="A13" s="41"/>
      <c r="B13" s="43"/>
      <c r="C13" s="5"/>
      <c r="D13" s="5"/>
      <c r="E13" s="44"/>
    </row>
    <row r="14" spans="1:5" ht="12">
      <c r="A14" s="41" t="s">
        <v>1370</v>
      </c>
      <c r="B14" s="43"/>
      <c r="C14" s="5">
        <f>SUM(C7:C13)</f>
        <v>190000</v>
      </c>
      <c r="D14" s="5">
        <f>SUM(D7:D13)</f>
        <v>190000</v>
      </c>
      <c r="E14" s="44">
        <f>SUM(E6:E13)</f>
        <v>75000</v>
      </c>
    </row>
    <row r="15" spans="1:5" ht="12">
      <c r="A15" s="49"/>
      <c r="B15" s="132"/>
      <c r="C15" s="49"/>
      <c r="D15" s="49"/>
      <c r="E15" s="53"/>
    </row>
    <row r="16" ht="12">
      <c r="E16" s="55"/>
    </row>
    <row r="17" spans="1:5" ht="12">
      <c r="A17" s="324" t="s">
        <v>504</v>
      </c>
      <c r="B17" s="373" t="s">
        <v>542</v>
      </c>
      <c r="C17" s="371" t="s">
        <v>1208</v>
      </c>
      <c r="D17" s="359" t="s">
        <v>1209</v>
      </c>
      <c r="E17" s="55"/>
    </row>
    <row r="18" spans="1:5" ht="12">
      <c r="A18" s="325"/>
      <c r="B18" s="437"/>
      <c r="C18" s="439"/>
      <c r="D18" s="360"/>
      <c r="E18" s="55"/>
    </row>
    <row r="19" spans="1:5" ht="12">
      <c r="A19" s="325"/>
      <c r="B19" s="437"/>
      <c r="C19" s="439"/>
      <c r="D19" s="360"/>
      <c r="E19" s="55"/>
    </row>
    <row r="20" spans="1:5" ht="12.75" thickBot="1">
      <c r="A20" s="326"/>
      <c r="B20" s="438"/>
      <c r="C20" s="440"/>
      <c r="D20" s="361"/>
      <c r="E20" s="55"/>
    </row>
    <row r="21" spans="1:4" ht="12.75" thickTop="1">
      <c r="A21" s="41"/>
      <c r="B21" s="134"/>
      <c r="C21" s="135"/>
      <c r="D21" s="42"/>
    </row>
    <row r="22" spans="1:4" ht="12">
      <c r="A22" s="41" t="s">
        <v>1371</v>
      </c>
      <c r="B22" s="43" t="s">
        <v>1372</v>
      </c>
      <c r="C22" s="5">
        <v>70000</v>
      </c>
      <c r="D22" s="44">
        <v>73500</v>
      </c>
    </row>
    <row r="23" spans="1:4" ht="12">
      <c r="A23" s="41" t="s">
        <v>1226</v>
      </c>
      <c r="B23" s="43" t="s">
        <v>1227</v>
      </c>
      <c r="C23" s="5">
        <v>80000</v>
      </c>
      <c r="D23" s="44">
        <v>84000</v>
      </c>
    </row>
    <row r="24" spans="1:4" ht="12">
      <c r="A24" s="49"/>
      <c r="B24" s="132"/>
      <c r="C24" s="49"/>
      <c r="D24" s="52"/>
    </row>
  </sheetData>
  <mergeCells count="9">
    <mergeCell ref="E1:E4"/>
    <mergeCell ref="A17:A20"/>
    <mergeCell ref="B17:B20"/>
    <mergeCell ref="C17:C20"/>
    <mergeCell ref="D17:D20"/>
    <mergeCell ref="A1:A4"/>
    <mergeCell ref="B1:B4"/>
    <mergeCell ref="C1:C4"/>
    <mergeCell ref="D1:D4"/>
  </mergeCells>
  <printOptions horizontalCentered="1"/>
  <pageMargins left="0.7874015748031497" right="0.7874015748031497" top="1.3385826771653544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dőlt"&amp;11KIMUTATÁS A HIVATAL KÖLTSÉGVETÉSI CÍMÉN ELSZÁMOLT
 SZEMÉLYI JUTTATÁSOK SZÁMÍTÁSÁHOZ&amp;R&amp;"Arial,Dőlt"&amp;8 8.számú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pane xSplit="1" ySplit="4" topLeftCell="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7" sqref="H17"/>
    </sheetView>
  </sheetViews>
  <sheetFormatPr defaultColWidth="9.00390625" defaultRowHeight="12.75"/>
  <cols>
    <col min="1" max="1" width="21.875" style="15" customWidth="1"/>
    <col min="2" max="2" width="7.875" style="17" bestFit="1" customWidth="1"/>
    <col min="3" max="3" width="10.375" style="16" customWidth="1"/>
    <col min="4" max="4" width="9.25390625" style="240" bestFit="1" customWidth="1"/>
    <col min="5" max="5" width="9.75390625" style="16" customWidth="1"/>
    <col min="6" max="6" width="8.25390625" style="16" customWidth="1"/>
    <col min="7" max="7" width="9.625" style="16" customWidth="1"/>
    <col min="8" max="8" width="11.125" style="16" customWidth="1"/>
    <col min="9" max="9" width="12.875" style="16" bestFit="1" customWidth="1"/>
    <col min="10" max="10" width="10.75390625" style="16" bestFit="1" customWidth="1"/>
    <col min="11" max="11" width="12.875" style="16" bestFit="1" customWidth="1"/>
    <col min="12" max="12" width="26.75390625" style="15" customWidth="1"/>
    <col min="13" max="14" width="14.00390625" style="15" customWidth="1"/>
    <col min="15" max="15" width="13.875" style="15" customWidth="1"/>
    <col min="16" max="16" width="9.875" style="18" customWidth="1"/>
    <col min="17" max="17" width="9.125" style="17" customWidth="1"/>
    <col min="18" max="18" width="10.00390625" style="17" bestFit="1" customWidth="1"/>
    <col min="19" max="19" width="11.625" style="16" bestFit="1" customWidth="1"/>
    <col min="20" max="16384" width="9.125" style="15" customWidth="1"/>
  </cols>
  <sheetData>
    <row r="1" spans="1:19" ht="12.75" customHeight="1">
      <c r="A1" s="384" t="s">
        <v>760</v>
      </c>
      <c r="B1" s="387" t="s">
        <v>349</v>
      </c>
      <c r="C1" s="410" t="s">
        <v>350</v>
      </c>
      <c r="D1" s="390" t="s">
        <v>351</v>
      </c>
      <c r="E1" s="442" t="s">
        <v>1029</v>
      </c>
      <c r="F1" s="443"/>
      <c r="G1" s="443"/>
      <c r="H1" s="444"/>
      <c r="I1" s="410" t="s">
        <v>1030</v>
      </c>
      <c r="J1" s="410" t="s">
        <v>390</v>
      </c>
      <c r="K1" s="410" t="s">
        <v>369</v>
      </c>
      <c r="L1" s="384" t="s">
        <v>760</v>
      </c>
      <c r="M1" s="399" t="s">
        <v>1176</v>
      </c>
      <c r="N1" s="399" t="s">
        <v>1032</v>
      </c>
      <c r="O1" s="399" t="s">
        <v>1031</v>
      </c>
      <c r="P1" s="432" t="s">
        <v>1177</v>
      </c>
      <c r="Q1" s="399" t="s">
        <v>771</v>
      </c>
      <c r="R1" s="399" t="s">
        <v>772</v>
      </c>
      <c r="S1" s="427" t="s">
        <v>1178</v>
      </c>
    </row>
    <row r="2" spans="1:19" ht="11.25" customHeight="1">
      <c r="A2" s="445"/>
      <c r="B2" s="449"/>
      <c r="C2" s="447"/>
      <c r="D2" s="455"/>
      <c r="E2" s="393" t="s">
        <v>352</v>
      </c>
      <c r="F2" s="393" t="s">
        <v>353</v>
      </c>
      <c r="G2" s="393" t="s">
        <v>350</v>
      </c>
      <c r="H2" s="393" t="s">
        <v>389</v>
      </c>
      <c r="I2" s="393"/>
      <c r="J2" s="447"/>
      <c r="K2" s="447"/>
      <c r="L2" s="445"/>
      <c r="M2" s="447"/>
      <c r="N2" s="400"/>
      <c r="O2" s="447"/>
      <c r="P2" s="449"/>
      <c r="Q2" s="449"/>
      <c r="R2" s="449"/>
      <c r="S2" s="451"/>
    </row>
    <row r="3" spans="1:19" ht="11.25" customHeight="1">
      <c r="A3" s="445"/>
      <c r="B3" s="449"/>
      <c r="C3" s="447"/>
      <c r="D3" s="455"/>
      <c r="E3" s="400"/>
      <c r="F3" s="393"/>
      <c r="G3" s="393"/>
      <c r="H3" s="453"/>
      <c r="I3" s="393"/>
      <c r="J3" s="447"/>
      <c r="K3" s="447"/>
      <c r="L3" s="445"/>
      <c r="M3" s="447"/>
      <c r="N3" s="400"/>
      <c r="O3" s="447"/>
      <c r="P3" s="449"/>
      <c r="Q3" s="449"/>
      <c r="R3" s="449"/>
      <c r="S3" s="451"/>
    </row>
    <row r="4" spans="1:19" ht="30" customHeight="1" thickBot="1">
      <c r="A4" s="446"/>
      <c r="B4" s="450"/>
      <c r="C4" s="448"/>
      <c r="D4" s="456"/>
      <c r="E4" s="441"/>
      <c r="F4" s="441"/>
      <c r="G4" s="441"/>
      <c r="H4" s="454"/>
      <c r="I4" s="441"/>
      <c r="J4" s="448"/>
      <c r="K4" s="448"/>
      <c r="L4" s="446"/>
      <c r="M4" s="448"/>
      <c r="N4" s="401"/>
      <c r="O4" s="448"/>
      <c r="P4" s="450"/>
      <c r="Q4" s="450"/>
      <c r="R4" s="450"/>
      <c r="S4" s="452"/>
    </row>
    <row r="5" spans="1:19" ht="12" thickTop="1">
      <c r="A5" s="29"/>
      <c r="B5" s="19"/>
      <c r="C5" s="20"/>
      <c r="D5" s="236"/>
      <c r="E5" s="20"/>
      <c r="F5" s="20"/>
      <c r="G5" s="20"/>
      <c r="H5" s="20"/>
      <c r="I5" s="20"/>
      <c r="J5" s="20"/>
      <c r="K5" s="20"/>
      <c r="L5" s="29"/>
      <c r="M5" s="29"/>
      <c r="N5" s="29"/>
      <c r="O5" s="29"/>
      <c r="P5" s="34"/>
      <c r="Q5" s="19"/>
      <c r="R5" s="19"/>
      <c r="S5" s="21"/>
    </row>
    <row r="6" spans="1:19" ht="11.25">
      <c r="A6" s="29"/>
      <c r="B6" s="19"/>
      <c r="C6" s="20"/>
      <c r="D6" s="236"/>
      <c r="E6" s="20"/>
      <c r="F6" s="20"/>
      <c r="G6" s="20"/>
      <c r="H6" s="20"/>
      <c r="I6" s="20"/>
      <c r="J6" s="20"/>
      <c r="K6" s="20"/>
      <c r="L6" s="29"/>
      <c r="M6" s="29"/>
      <c r="N6" s="29"/>
      <c r="O6" s="29"/>
      <c r="P6" s="34"/>
      <c r="Q6" s="19"/>
      <c r="R6" s="19"/>
      <c r="S6" s="21"/>
    </row>
    <row r="7" spans="1:19" ht="11.25">
      <c r="A7" s="29" t="s">
        <v>388</v>
      </c>
      <c r="B7" s="19" t="s">
        <v>722</v>
      </c>
      <c r="C7" s="20">
        <v>77000</v>
      </c>
      <c r="D7" s="236">
        <v>1.14</v>
      </c>
      <c r="E7" s="20">
        <f>C7*D7</f>
        <v>87779.99999999999</v>
      </c>
      <c r="F7" s="20"/>
      <c r="G7" s="20">
        <f>E7+F7</f>
        <v>87779.99999999999</v>
      </c>
      <c r="H7" s="20">
        <v>87800</v>
      </c>
      <c r="I7" s="20">
        <v>83700</v>
      </c>
      <c r="J7" s="20"/>
      <c r="K7" s="20">
        <v>83700</v>
      </c>
      <c r="L7" s="29" t="s">
        <v>388</v>
      </c>
      <c r="M7" s="29" t="s">
        <v>344</v>
      </c>
      <c r="N7" s="29"/>
      <c r="O7" s="29"/>
      <c r="P7" s="34">
        <v>40179</v>
      </c>
      <c r="Q7" s="19"/>
      <c r="R7" s="19"/>
      <c r="S7" s="21"/>
    </row>
    <row r="8" spans="1:19" ht="11.25">
      <c r="A8" s="29"/>
      <c r="B8" s="19"/>
      <c r="C8" s="20"/>
      <c r="D8" s="236"/>
      <c r="E8" s="20"/>
      <c r="F8" s="20"/>
      <c r="G8" s="20"/>
      <c r="H8" s="20"/>
      <c r="I8" s="20"/>
      <c r="J8" s="20"/>
      <c r="K8" s="20"/>
      <c r="L8" s="29"/>
      <c r="M8" s="29"/>
      <c r="N8" s="29"/>
      <c r="O8" s="29"/>
      <c r="P8" s="34"/>
      <c r="Q8" s="19"/>
      <c r="R8" s="19"/>
      <c r="S8" s="21"/>
    </row>
    <row r="9" spans="1:19" ht="11.25">
      <c r="A9" s="29"/>
      <c r="B9" s="19"/>
      <c r="C9" s="20"/>
      <c r="D9" s="236"/>
      <c r="E9" s="20"/>
      <c r="F9" s="20"/>
      <c r="G9" s="20"/>
      <c r="H9" s="20"/>
      <c r="I9" s="20"/>
      <c r="J9" s="20"/>
      <c r="K9" s="20"/>
      <c r="L9" s="29"/>
      <c r="M9" s="29"/>
      <c r="N9" s="29"/>
      <c r="O9" s="29"/>
      <c r="P9" s="34"/>
      <c r="Q9" s="19"/>
      <c r="R9" s="19"/>
      <c r="S9" s="21"/>
    </row>
    <row r="10" spans="1:19" ht="11.25">
      <c r="A10" s="29"/>
      <c r="B10" s="19"/>
      <c r="C10" s="20"/>
      <c r="D10" s="236"/>
      <c r="E10" s="20"/>
      <c r="F10" s="20"/>
      <c r="G10" s="20"/>
      <c r="H10" s="20"/>
      <c r="I10" s="20"/>
      <c r="J10" s="20"/>
      <c r="K10" s="20"/>
      <c r="L10" s="29"/>
      <c r="M10" s="29"/>
      <c r="N10" s="29"/>
      <c r="O10" s="29"/>
      <c r="P10" s="34"/>
      <c r="Q10" s="19"/>
      <c r="R10" s="19"/>
      <c r="S10" s="21"/>
    </row>
    <row r="11" spans="1:19" s="24" customFormat="1" ht="11.25">
      <c r="A11" s="32" t="s">
        <v>541</v>
      </c>
      <c r="B11" s="22"/>
      <c r="C11" s="23"/>
      <c r="D11" s="238"/>
      <c r="E11" s="23"/>
      <c r="F11" s="23"/>
      <c r="G11" s="23"/>
      <c r="H11" s="23">
        <f>SUM(H7:H10)</f>
        <v>87800</v>
      </c>
      <c r="I11" s="33">
        <f>SUM(I7:I10)</f>
        <v>83700</v>
      </c>
      <c r="J11" s="33">
        <f>SUM(J7:J10)</f>
        <v>0</v>
      </c>
      <c r="K11" s="33">
        <f>SUM(K7:K10)</f>
        <v>83700</v>
      </c>
      <c r="L11" s="32" t="s">
        <v>541</v>
      </c>
      <c r="M11" s="32"/>
      <c r="N11" s="32"/>
      <c r="O11" s="32"/>
      <c r="P11" s="36"/>
      <c r="Q11" s="22"/>
      <c r="R11" s="22"/>
      <c r="S11" s="33">
        <f>SUM(S7:S10)</f>
        <v>0</v>
      </c>
    </row>
    <row r="12" spans="1:19" ht="11.25">
      <c r="A12" s="29"/>
      <c r="B12" s="19"/>
      <c r="C12" s="20"/>
      <c r="D12" s="236"/>
      <c r="E12" s="20"/>
      <c r="F12" s="20"/>
      <c r="G12" s="20"/>
      <c r="H12" s="20"/>
      <c r="I12" s="20"/>
      <c r="J12" s="20"/>
      <c r="K12" s="20"/>
      <c r="L12" s="29"/>
      <c r="M12" s="29"/>
      <c r="N12" s="29"/>
      <c r="O12" s="29"/>
      <c r="P12" s="34"/>
      <c r="Q12" s="19"/>
      <c r="R12" s="19"/>
      <c r="S12" s="21"/>
    </row>
    <row r="13" spans="1:19" ht="11.25">
      <c r="A13" s="29" t="s">
        <v>724</v>
      </c>
      <c r="B13" s="19" t="s">
        <v>387</v>
      </c>
      <c r="C13" s="20">
        <v>122000</v>
      </c>
      <c r="D13" s="236">
        <v>1.035</v>
      </c>
      <c r="E13" s="20">
        <f>D13*C13</f>
        <v>126269.99999999999</v>
      </c>
      <c r="F13" s="20"/>
      <c r="G13" s="20">
        <f>E13+F13</f>
        <v>126269.99999999999</v>
      </c>
      <c r="H13" s="20">
        <v>126300</v>
      </c>
      <c r="I13" s="20">
        <v>119200</v>
      </c>
      <c r="J13" s="20">
        <v>0</v>
      </c>
      <c r="K13" s="20">
        <v>119200</v>
      </c>
      <c r="L13" s="29" t="s">
        <v>724</v>
      </c>
      <c r="M13" s="29" t="s">
        <v>1184</v>
      </c>
      <c r="N13" s="29"/>
      <c r="O13" s="29"/>
      <c r="P13" s="34">
        <v>39814</v>
      </c>
      <c r="Q13" s="19" t="s">
        <v>780</v>
      </c>
      <c r="R13" s="34">
        <v>46600</v>
      </c>
      <c r="S13" s="21"/>
    </row>
    <row r="14" spans="1:19" ht="11.25">
      <c r="A14" s="29"/>
      <c r="B14" s="19"/>
      <c r="C14" s="20"/>
      <c r="D14" s="236"/>
      <c r="E14" s="20"/>
      <c r="F14" s="20"/>
      <c r="G14" s="20"/>
      <c r="H14" s="20"/>
      <c r="I14" s="20"/>
      <c r="J14" s="20"/>
      <c r="K14" s="20"/>
      <c r="L14" s="29"/>
      <c r="M14" s="29"/>
      <c r="N14" s="29"/>
      <c r="O14" s="29"/>
      <c r="P14" s="34"/>
      <c r="Q14" s="19"/>
      <c r="R14" s="19"/>
      <c r="S14" s="21"/>
    </row>
    <row r="15" spans="1:19" s="24" customFormat="1" ht="11.25">
      <c r="A15" s="32" t="s">
        <v>380</v>
      </c>
      <c r="B15" s="22"/>
      <c r="C15" s="23"/>
      <c r="D15" s="238"/>
      <c r="E15" s="23"/>
      <c r="F15" s="23"/>
      <c r="G15" s="23"/>
      <c r="H15" s="23">
        <f>SUM(H13:H14)</f>
        <v>126300</v>
      </c>
      <c r="I15" s="23">
        <f>SUM(I13:I14)</f>
        <v>119200</v>
      </c>
      <c r="J15" s="23">
        <f>SUM(J13:J14)</f>
        <v>0</v>
      </c>
      <c r="K15" s="23">
        <f>SUM(K13:K14)</f>
        <v>119200</v>
      </c>
      <c r="L15" s="32" t="s">
        <v>380</v>
      </c>
      <c r="M15" s="32"/>
      <c r="N15" s="32"/>
      <c r="O15" s="32"/>
      <c r="P15" s="36"/>
      <c r="Q15" s="22"/>
      <c r="R15" s="22"/>
      <c r="S15" s="33">
        <v>0</v>
      </c>
    </row>
    <row r="16" spans="1:19" ht="11.25">
      <c r="A16" s="29"/>
      <c r="B16" s="19"/>
      <c r="C16" s="20"/>
      <c r="D16" s="236"/>
      <c r="E16" s="20"/>
      <c r="F16" s="20"/>
      <c r="G16" s="20"/>
      <c r="H16" s="20"/>
      <c r="I16" s="20"/>
      <c r="J16" s="20"/>
      <c r="K16" s="20"/>
      <c r="L16" s="29"/>
      <c r="M16" s="29"/>
      <c r="N16" s="29"/>
      <c r="O16" s="29"/>
      <c r="P16" s="34"/>
      <c r="Q16" s="19"/>
      <c r="R16" s="19"/>
      <c r="S16" s="21"/>
    </row>
    <row r="17" spans="1:19" ht="11.25">
      <c r="A17" s="29" t="s">
        <v>381</v>
      </c>
      <c r="B17" s="19" t="s">
        <v>1305</v>
      </c>
      <c r="C17" s="20">
        <v>69000</v>
      </c>
      <c r="D17" s="236">
        <v>1.2175</v>
      </c>
      <c r="E17" s="20">
        <f>D17*C17</f>
        <v>84007.5</v>
      </c>
      <c r="F17" s="20"/>
      <c r="G17" s="20">
        <f>E17+F17</f>
        <v>84007.5</v>
      </c>
      <c r="H17" s="20">
        <v>84000</v>
      </c>
      <c r="I17" s="20">
        <v>79700</v>
      </c>
      <c r="J17" s="20"/>
      <c r="K17" s="20">
        <v>79700</v>
      </c>
      <c r="L17" s="29" t="s">
        <v>381</v>
      </c>
      <c r="M17" s="29" t="s">
        <v>344</v>
      </c>
      <c r="N17" s="29"/>
      <c r="O17" s="29"/>
      <c r="P17" s="34">
        <v>40179</v>
      </c>
      <c r="Q17" s="19" t="s">
        <v>1189</v>
      </c>
      <c r="R17" s="76">
        <v>41890</v>
      </c>
      <c r="S17" s="21">
        <v>0</v>
      </c>
    </row>
    <row r="18" spans="1:19" ht="11.25">
      <c r="A18" s="29" t="s">
        <v>382</v>
      </c>
      <c r="B18" s="19" t="s">
        <v>1306</v>
      </c>
      <c r="C18" s="20">
        <v>79000</v>
      </c>
      <c r="D18" s="236">
        <v>1.1875</v>
      </c>
      <c r="E18" s="20">
        <f>D18*C18</f>
        <v>93812.5</v>
      </c>
      <c r="F18" s="20"/>
      <c r="G18" s="20">
        <f>E18+F18</f>
        <v>93812.5</v>
      </c>
      <c r="H18" s="20">
        <v>93800</v>
      </c>
      <c r="I18" s="20">
        <v>89400</v>
      </c>
      <c r="J18" s="20"/>
      <c r="K18" s="20">
        <v>89400</v>
      </c>
      <c r="L18" s="29" t="s">
        <v>382</v>
      </c>
      <c r="M18" s="29" t="s">
        <v>344</v>
      </c>
      <c r="N18" s="29"/>
      <c r="O18" s="29"/>
      <c r="P18" s="34">
        <v>40179</v>
      </c>
      <c r="Q18" s="19" t="s">
        <v>780</v>
      </c>
      <c r="R18" s="76">
        <v>40691</v>
      </c>
      <c r="S18" s="21"/>
    </row>
    <row r="19" spans="1:19" ht="11.25">
      <c r="A19" s="29" t="s">
        <v>383</v>
      </c>
      <c r="B19" s="19" t="s">
        <v>1307</v>
      </c>
      <c r="C19" s="20">
        <v>69000</v>
      </c>
      <c r="D19" s="236">
        <v>1.195</v>
      </c>
      <c r="E19" s="20">
        <f>D19*C19</f>
        <v>82455</v>
      </c>
      <c r="F19" s="20"/>
      <c r="G19" s="20">
        <f>E19+F19</f>
        <v>82455</v>
      </c>
      <c r="H19" s="20">
        <v>82500</v>
      </c>
      <c r="I19" s="20">
        <v>78100</v>
      </c>
      <c r="J19" s="20"/>
      <c r="K19" s="20">
        <v>78100</v>
      </c>
      <c r="L19" s="29" t="s">
        <v>383</v>
      </c>
      <c r="M19" s="29" t="s">
        <v>344</v>
      </c>
      <c r="N19" s="29"/>
      <c r="O19" s="29"/>
      <c r="P19" s="34">
        <v>39814</v>
      </c>
      <c r="Q19" s="19" t="s">
        <v>1189</v>
      </c>
      <c r="R19" s="76">
        <v>42648</v>
      </c>
      <c r="S19" s="21"/>
    </row>
    <row r="20" spans="1:19" ht="11.25">
      <c r="A20" s="29" t="s">
        <v>384</v>
      </c>
      <c r="B20" s="19" t="s">
        <v>1415</v>
      </c>
      <c r="C20" s="20">
        <v>77000</v>
      </c>
      <c r="D20" s="236">
        <v>1.2775</v>
      </c>
      <c r="E20" s="20">
        <f>D20*C20</f>
        <v>98367.5</v>
      </c>
      <c r="F20" s="20"/>
      <c r="G20" s="20">
        <f>E20+F20</f>
        <v>98367.5</v>
      </c>
      <c r="H20" s="20">
        <v>98400</v>
      </c>
      <c r="I20" s="20">
        <v>93600</v>
      </c>
      <c r="J20" s="20"/>
      <c r="K20" s="20">
        <v>93600</v>
      </c>
      <c r="L20" s="29" t="s">
        <v>384</v>
      </c>
      <c r="M20" s="29" t="s">
        <v>344</v>
      </c>
      <c r="N20" s="29"/>
      <c r="O20" s="29"/>
      <c r="P20" s="34">
        <v>40179</v>
      </c>
      <c r="Q20" s="19" t="s">
        <v>1189</v>
      </c>
      <c r="R20" s="76">
        <v>41971</v>
      </c>
      <c r="S20" s="21"/>
    </row>
    <row r="21" spans="1:19" ht="11.25">
      <c r="A21" s="29" t="s">
        <v>725</v>
      </c>
      <c r="B21" s="19" t="s">
        <v>1308</v>
      </c>
      <c r="C21" s="20">
        <v>77000</v>
      </c>
      <c r="D21" s="236">
        <v>1.07</v>
      </c>
      <c r="E21" s="20">
        <f>D21*C21</f>
        <v>82390</v>
      </c>
      <c r="F21" s="20"/>
      <c r="G21" s="20">
        <f>E21+F21</f>
        <v>82390</v>
      </c>
      <c r="H21" s="20">
        <v>82400</v>
      </c>
      <c r="I21" s="20">
        <v>76200</v>
      </c>
      <c r="J21" s="20"/>
      <c r="K21" s="20">
        <v>76200</v>
      </c>
      <c r="L21" s="29" t="s">
        <v>725</v>
      </c>
      <c r="M21" s="29" t="s">
        <v>344</v>
      </c>
      <c r="N21" s="29"/>
      <c r="O21" s="29"/>
      <c r="P21" s="34">
        <v>39814</v>
      </c>
      <c r="Q21" s="19" t="s">
        <v>780</v>
      </c>
      <c r="R21" s="76">
        <v>43607</v>
      </c>
      <c r="S21" s="21"/>
    </row>
    <row r="22" spans="1:19" ht="11.25">
      <c r="A22" s="29"/>
      <c r="B22" s="19"/>
      <c r="C22" s="20"/>
      <c r="D22" s="236"/>
      <c r="E22" s="20"/>
      <c r="F22" s="20"/>
      <c r="G22" s="20"/>
      <c r="H22" s="20"/>
      <c r="I22" s="20"/>
      <c r="J22" s="20"/>
      <c r="K22" s="20"/>
      <c r="L22" s="29"/>
      <c r="M22" s="29"/>
      <c r="N22" s="29"/>
      <c r="O22" s="29"/>
      <c r="P22" s="34"/>
      <c r="Q22" s="19"/>
      <c r="R22" s="19"/>
      <c r="S22" s="21"/>
    </row>
    <row r="23" spans="1:19" s="24" customFormat="1" ht="11.25">
      <c r="A23" s="32" t="s">
        <v>385</v>
      </c>
      <c r="B23" s="22"/>
      <c r="C23" s="23"/>
      <c r="D23" s="238"/>
      <c r="E23" s="23"/>
      <c r="F23" s="23"/>
      <c r="G23" s="23"/>
      <c r="H23" s="23">
        <f>SUM(H17:H20)</f>
        <v>358700</v>
      </c>
      <c r="I23" s="23">
        <f>SUM(I17:I22)</f>
        <v>417000</v>
      </c>
      <c r="J23" s="23">
        <f>SUM(J17:J22)</f>
        <v>0</v>
      </c>
      <c r="K23" s="23">
        <f>SUM(K17:K22)</f>
        <v>417000</v>
      </c>
      <c r="L23" s="32" t="s">
        <v>385</v>
      </c>
      <c r="M23" s="32"/>
      <c r="N23" s="32"/>
      <c r="O23" s="32"/>
      <c r="P23" s="36"/>
      <c r="Q23" s="22"/>
      <c r="R23" s="22"/>
      <c r="S23" s="33">
        <f>SUM(S17:S22)</f>
        <v>0</v>
      </c>
    </row>
    <row r="24" spans="1:19" ht="11.25">
      <c r="A24" s="29"/>
      <c r="B24" s="19"/>
      <c r="C24" s="20"/>
      <c r="D24" s="236"/>
      <c r="E24" s="20"/>
      <c r="F24" s="20"/>
      <c r="G24" s="20"/>
      <c r="H24" s="20"/>
      <c r="I24" s="20"/>
      <c r="J24" s="21"/>
      <c r="K24" s="20"/>
      <c r="L24" s="29"/>
      <c r="M24" s="29"/>
      <c r="N24" s="29"/>
      <c r="O24" s="29"/>
      <c r="P24" s="34"/>
      <c r="Q24" s="19"/>
      <c r="R24" s="19"/>
      <c r="S24" s="21"/>
    </row>
    <row r="25" spans="1:19" ht="11.25">
      <c r="A25" s="29" t="s">
        <v>660</v>
      </c>
      <c r="B25" s="19" t="s">
        <v>737</v>
      </c>
      <c r="C25" s="20">
        <v>122000</v>
      </c>
      <c r="D25" s="236">
        <v>1.1475</v>
      </c>
      <c r="E25" s="20">
        <f>D25*C25</f>
        <v>139995</v>
      </c>
      <c r="F25" s="20"/>
      <c r="G25" s="20">
        <f>SUM(E25:F25)</f>
        <v>139995</v>
      </c>
      <c r="H25" s="20">
        <v>140000</v>
      </c>
      <c r="I25" s="20">
        <v>64200</v>
      </c>
      <c r="J25" s="20"/>
      <c r="K25" s="21">
        <v>64200</v>
      </c>
      <c r="L25" s="29" t="s">
        <v>660</v>
      </c>
      <c r="M25" s="29" t="s">
        <v>344</v>
      </c>
      <c r="N25" s="29"/>
      <c r="O25" s="29"/>
      <c r="P25" s="34">
        <v>40544</v>
      </c>
      <c r="Q25" s="19"/>
      <c r="R25" s="19"/>
      <c r="S25" s="21"/>
    </row>
    <row r="26" spans="1:19" ht="11.25">
      <c r="A26" s="29"/>
      <c r="B26" s="19"/>
      <c r="C26" s="20"/>
      <c r="D26" s="236"/>
      <c r="E26" s="20"/>
      <c r="F26" s="20"/>
      <c r="G26" s="20"/>
      <c r="H26" s="20"/>
      <c r="I26" s="20"/>
      <c r="J26" s="20"/>
      <c r="K26" s="21"/>
      <c r="L26" s="29"/>
      <c r="M26" s="29"/>
      <c r="N26" s="29"/>
      <c r="O26" s="29"/>
      <c r="P26" s="34"/>
      <c r="Q26" s="19"/>
      <c r="R26" s="19"/>
      <c r="S26" s="21"/>
    </row>
    <row r="27" spans="1:19" s="81" customFormat="1" ht="11.25">
      <c r="A27" s="32" t="s">
        <v>726</v>
      </c>
      <c r="B27" s="22"/>
      <c r="C27" s="23"/>
      <c r="D27" s="238"/>
      <c r="E27" s="23"/>
      <c r="F27" s="23"/>
      <c r="G27" s="23"/>
      <c r="H27" s="23">
        <f>SUM(H25:H26)</f>
        <v>140000</v>
      </c>
      <c r="I27" s="23">
        <f>SUM(I25:I26)</f>
        <v>64200</v>
      </c>
      <c r="J27" s="23"/>
      <c r="K27" s="23">
        <f>SUM(K25:K26)</f>
        <v>64200</v>
      </c>
      <c r="L27" s="32" t="s">
        <v>726</v>
      </c>
      <c r="M27" s="32"/>
      <c r="N27" s="32"/>
      <c r="O27" s="32"/>
      <c r="P27" s="36"/>
      <c r="Q27" s="22"/>
      <c r="R27" s="22"/>
      <c r="S27" s="33"/>
    </row>
    <row r="28" spans="1:19" ht="11.25">
      <c r="A28" s="29"/>
      <c r="B28" s="19"/>
      <c r="C28" s="20"/>
      <c r="D28" s="236"/>
      <c r="E28" s="20"/>
      <c r="F28" s="20"/>
      <c r="G28" s="20"/>
      <c r="H28" s="20"/>
      <c r="I28" s="20"/>
      <c r="J28" s="20"/>
      <c r="K28" s="21"/>
      <c r="L28" s="29"/>
      <c r="M28" s="29"/>
      <c r="N28" s="29"/>
      <c r="O28" s="29"/>
      <c r="P28" s="34"/>
      <c r="Q28" s="19"/>
      <c r="R28" s="19"/>
      <c r="S28" s="21"/>
    </row>
    <row r="29" spans="1:19" ht="11.25">
      <c r="A29" s="29"/>
      <c r="B29" s="19"/>
      <c r="C29" s="20"/>
      <c r="D29" s="236"/>
      <c r="E29" s="20"/>
      <c r="F29" s="20"/>
      <c r="G29" s="20"/>
      <c r="H29" s="20"/>
      <c r="I29" s="20"/>
      <c r="J29" s="20"/>
      <c r="K29" s="21"/>
      <c r="L29" s="29"/>
      <c r="M29" s="29"/>
      <c r="N29" s="29"/>
      <c r="O29" s="29"/>
      <c r="P29" s="34"/>
      <c r="Q29" s="19"/>
      <c r="R29" s="19"/>
      <c r="S29" s="21"/>
    </row>
    <row r="30" spans="1:19" ht="11.25">
      <c r="A30" s="270"/>
      <c r="B30" s="271"/>
      <c r="C30" s="272"/>
      <c r="D30" s="273"/>
      <c r="E30" s="272"/>
      <c r="F30" s="272"/>
      <c r="G30" s="272"/>
      <c r="H30" s="272"/>
      <c r="I30" s="272"/>
      <c r="J30" s="272"/>
      <c r="K30" s="274"/>
      <c r="L30" s="270"/>
      <c r="M30" s="270"/>
      <c r="N30" s="270"/>
      <c r="O30" s="270"/>
      <c r="P30" s="275"/>
      <c r="Q30" s="271"/>
      <c r="R30" s="271"/>
      <c r="S30" s="274"/>
    </row>
  </sheetData>
  <mergeCells count="20">
    <mergeCell ref="A1:A4"/>
    <mergeCell ref="H2:H4"/>
    <mergeCell ref="B1:B4"/>
    <mergeCell ref="C1:C4"/>
    <mergeCell ref="D1:D4"/>
    <mergeCell ref="E2:E4"/>
    <mergeCell ref="F2:F4"/>
    <mergeCell ref="G2:G4"/>
    <mergeCell ref="Q1:Q4"/>
    <mergeCell ref="R1:R4"/>
    <mergeCell ref="S1:S4"/>
    <mergeCell ref="K1:K4"/>
    <mergeCell ref="M1:M4"/>
    <mergeCell ref="O1:O4"/>
    <mergeCell ref="P1:P4"/>
    <mergeCell ref="I1:I4"/>
    <mergeCell ref="E1:H1"/>
    <mergeCell ref="L1:L4"/>
    <mergeCell ref="N1:N4"/>
    <mergeCell ref="J1:J4"/>
  </mergeCells>
  <printOptions horizontalCentered="1"/>
  <pageMargins left="0.25" right="0.31496062992125984" top="0.87" bottom="0.4330708661417323" header="0.22" footer="0.2755905511811024"/>
  <pageSetup horizontalDpi="600" verticalDpi="600" orientation="landscape" paperSize="9" r:id="rId1"/>
  <headerFooter alignWithMargins="0">
    <oddHeader>&amp;C
&amp;"Arial,Félkövér dőlt"KIMUTATÁS A KÖZALKALMAZOTTI BÉREK SZÁMÍTÁSÁHOZ&amp;R&amp;"Arial,Dőlt"&amp;8 9.számú melléklet</oddHeader>
    <oddFooter>&amp;C&amp;"Arial,Dőlt"&amp;8&amp;P. oldal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pane xSplit="1" ySplit="7" topLeftCell="S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3" sqref="G23"/>
    </sheetView>
  </sheetViews>
  <sheetFormatPr defaultColWidth="9.00390625" defaultRowHeight="12.75"/>
  <cols>
    <col min="1" max="1" width="21.625" style="37" customWidth="1"/>
    <col min="2" max="2" width="9.125" style="37" customWidth="1"/>
    <col min="3" max="3" width="8.625" style="54" customWidth="1"/>
    <col min="4" max="4" width="13.875" style="55" customWidth="1"/>
    <col min="5" max="5" width="13.625" style="55" customWidth="1"/>
    <col min="6" max="7" width="12.625" style="55" customWidth="1"/>
    <col min="8" max="8" width="10.00390625" style="55" customWidth="1"/>
    <col min="9" max="12" width="10.00390625" style="37" customWidth="1"/>
    <col min="13" max="13" width="20.375" style="37" bestFit="1" customWidth="1"/>
    <col min="14" max="14" width="12.375" style="37" customWidth="1"/>
    <col min="15" max="15" width="14.75390625" style="37" customWidth="1"/>
    <col min="16" max="16" width="15.75390625" style="37" customWidth="1"/>
    <col min="17" max="17" width="10.875" style="37" customWidth="1"/>
    <col min="18" max="18" width="9.375" style="37" bestFit="1" customWidth="1"/>
    <col min="19" max="19" width="9.125" style="37" customWidth="1"/>
    <col min="20" max="20" width="14.625" style="37" customWidth="1"/>
    <col min="21" max="16384" width="9.125" style="37" customWidth="1"/>
  </cols>
  <sheetData>
    <row r="1" spans="1:21" ht="12" customHeight="1">
      <c r="A1" s="324" t="s">
        <v>760</v>
      </c>
      <c r="B1" s="457" t="s">
        <v>329</v>
      </c>
      <c r="C1" s="458"/>
      <c r="D1" s="458"/>
      <c r="E1" s="458"/>
      <c r="F1" s="458"/>
      <c r="G1" s="458"/>
      <c r="H1" s="458"/>
      <c r="I1" s="458"/>
      <c r="J1" s="458"/>
      <c r="K1" s="458"/>
      <c r="L1" s="459"/>
      <c r="M1" s="324" t="s">
        <v>760</v>
      </c>
      <c r="N1" s="321" t="s">
        <v>346</v>
      </c>
      <c r="O1" s="378" t="s">
        <v>330</v>
      </c>
      <c r="P1" s="378" t="s">
        <v>1466</v>
      </c>
      <c r="Q1" s="468" t="s">
        <v>769</v>
      </c>
      <c r="R1" s="378" t="s">
        <v>770</v>
      </c>
      <c r="S1" s="378" t="s">
        <v>771</v>
      </c>
      <c r="T1" s="378" t="s">
        <v>772</v>
      </c>
      <c r="U1" s="467" t="s">
        <v>773</v>
      </c>
    </row>
    <row r="2" spans="1:21" ht="12.75" customHeight="1">
      <c r="A2" s="411"/>
      <c r="B2" s="378" t="s">
        <v>761</v>
      </c>
      <c r="C2" s="382" t="s">
        <v>762</v>
      </c>
      <c r="D2" s="463" t="s">
        <v>763</v>
      </c>
      <c r="E2" s="321" t="s">
        <v>764</v>
      </c>
      <c r="F2" s="321" t="s">
        <v>765</v>
      </c>
      <c r="G2" s="463" t="s">
        <v>766</v>
      </c>
      <c r="H2" s="321" t="s">
        <v>767</v>
      </c>
      <c r="I2" s="462" t="s">
        <v>768</v>
      </c>
      <c r="J2" s="458"/>
      <c r="K2" s="458"/>
      <c r="L2" s="459"/>
      <c r="M2" s="325"/>
      <c r="N2" s="322"/>
      <c r="O2" s="377"/>
      <c r="P2" s="377"/>
      <c r="Q2" s="469"/>
      <c r="R2" s="377"/>
      <c r="S2" s="377"/>
      <c r="T2" s="377"/>
      <c r="U2" s="335"/>
    </row>
    <row r="3" spans="1:21" ht="12" customHeight="1">
      <c r="A3" s="411"/>
      <c r="B3" s="460"/>
      <c r="C3" s="460"/>
      <c r="D3" s="464"/>
      <c r="E3" s="460"/>
      <c r="F3" s="460"/>
      <c r="G3" s="464"/>
      <c r="H3" s="460"/>
      <c r="I3" s="377" t="s">
        <v>774</v>
      </c>
      <c r="J3" s="377" t="s">
        <v>775</v>
      </c>
      <c r="K3" s="377" t="s">
        <v>776</v>
      </c>
      <c r="L3" s="377" t="s">
        <v>777</v>
      </c>
      <c r="M3" s="325"/>
      <c r="N3" s="322"/>
      <c r="O3" s="377"/>
      <c r="P3" s="377"/>
      <c r="Q3" s="469"/>
      <c r="R3" s="377"/>
      <c r="S3" s="377"/>
      <c r="T3" s="377"/>
      <c r="U3" s="335"/>
    </row>
    <row r="4" spans="1:21" ht="12" customHeight="1">
      <c r="A4" s="411"/>
      <c r="B4" s="460"/>
      <c r="C4" s="460"/>
      <c r="D4" s="464"/>
      <c r="E4" s="460"/>
      <c r="F4" s="460"/>
      <c r="G4" s="464"/>
      <c r="H4" s="460"/>
      <c r="I4" s="460"/>
      <c r="J4" s="460"/>
      <c r="K4" s="460"/>
      <c r="L4" s="460"/>
      <c r="M4" s="325"/>
      <c r="N4" s="322"/>
      <c r="O4" s="377"/>
      <c r="P4" s="377"/>
      <c r="Q4" s="469"/>
      <c r="R4" s="377"/>
      <c r="S4" s="377"/>
      <c r="T4" s="377"/>
      <c r="U4" s="335"/>
    </row>
    <row r="5" spans="1:21" ht="12" customHeight="1">
      <c r="A5" s="411"/>
      <c r="B5" s="460"/>
      <c r="C5" s="460"/>
      <c r="D5" s="464"/>
      <c r="E5" s="460"/>
      <c r="F5" s="460"/>
      <c r="G5" s="464"/>
      <c r="H5" s="460"/>
      <c r="I5" s="460"/>
      <c r="J5" s="460"/>
      <c r="K5" s="460"/>
      <c r="L5" s="460"/>
      <c r="M5" s="325"/>
      <c r="N5" s="322"/>
      <c r="O5" s="377"/>
      <c r="P5" s="377"/>
      <c r="Q5" s="469"/>
      <c r="R5" s="377"/>
      <c r="S5" s="377"/>
      <c r="T5" s="377"/>
      <c r="U5" s="335"/>
    </row>
    <row r="6" spans="1:21" ht="12" customHeight="1">
      <c r="A6" s="411"/>
      <c r="B6" s="460"/>
      <c r="C6" s="460"/>
      <c r="D6" s="464"/>
      <c r="E6" s="460"/>
      <c r="F6" s="460"/>
      <c r="G6" s="464"/>
      <c r="H6" s="460"/>
      <c r="I6" s="460"/>
      <c r="J6" s="460"/>
      <c r="K6" s="460"/>
      <c r="L6" s="460"/>
      <c r="M6" s="325"/>
      <c r="N6" s="322"/>
      <c r="O6" s="377"/>
      <c r="P6" s="377"/>
      <c r="Q6" s="469"/>
      <c r="R6" s="377"/>
      <c r="S6" s="377"/>
      <c r="T6" s="377"/>
      <c r="U6" s="335"/>
    </row>
    <row r="7" spans="1:21" ht="12.75" customHeight="1" thickBot="1">
      <c r="A7" s="412"/>
      <c r="B7" s="461"/>
      <c r="C7" s="461"/>
      <c r="D7" s="465"/>
      <c r="E7" s="461"/>
      <c r="F7" s="461"/>
      <c r="G7" s="465"/>
      <c r="H7" s="461"/>
      <c r="I7" s="461"/>
      <c r="J7" s="461"/>
      <c r="K7" s="461"/>
      <c r="L7" s="461"/>
      <c r="M7" s="326"/>
      <c r="N7" s="323"/>
      <c r="O7" s="466"/>
      <c r="P7" s="466"/>
      <c r="Q7" s="470"/>
      <c r="R7" s="466"/>
      <c r="S7" s="466"/>
      <c r="T7" s="466"/>
      <c r="U7" s="336"/>
    </row>
    <row r="8" spans="1:21" ht="12.75" thickTop="1">
      <c r="A8" s="41"/>
      <c r="B8" s="38"/>
      <c r="C8" s="39"/>
      <c r="D8" s="40"/>
      <c r="E8" s="5"/>
      <c r="F8" s="5"/>
      <c r="G8" s="5"/>
      <c r="H8" s="5"/>
      <c r="I8" s="41"/>
      <c r="J8" s="41"/>
      <c r="K8" s="41"/>
      <c r="L8" s="42"/>
      <c r="M8" s="41"/>
      <c r="N8" s="5"/>
      <c r="O8" s="41"/>
      <c r="P8" s="43"/>
      <c r="Q8" s="43"/>
      <c r="R8" s="41"/>
      <c r="S8" s="41"/>
      <c r="T8" s="41"/>
      <c r="U8" s="44"/>
    </row>
    <row r="9" spans="1:21" ht="12">
      <c r="A9" s="41" t="s">
        <v>778</v>
      </c>
      <c r="B9" s="41"/>
      <c r="C9" s="45"/>
      <c r="D9" s="5">
        <v>38650</v>
      </c>
      <c r="E9" s="5"/>
      <c r="F9" s="5"/>
      <c r="G9" s="5"/>
      <c r="H9" s="5"/>
      <c r="I9" s="41"/>
      <c r="J9" s="41"/>
      <c r="K9" s="41"/>
      <c r="L9" s="42"/>
      <c r="M9" s="41"/>
      <c r="N9" s="5"/>
      <c r="O9" s="43"/>
      <c r="P9" s="43"/>
      <c r="Q9" s="43"/>
      <c r="R9" s="41"/>
      <c r="S9" s="43"/>
      <c r="T9" s="43"/>
      <c r="U9" s="44"/>
    </row>
    <row r="10" spans="1:21" ht="12">
      <c r="A10" s="41"/>
      <c r="B10" s="41"/>
      <c r="C10" s="45"/>
      <c r="D10" s="5"/>
      <c r="E10" s="5"/>
      <c r="F10" s="5"/>
      <c r="G10" s="5"/>
      <c r="H10" s="5"/>
      <c r="I10" s="41"/>
      <c r="J10" s="41"/>
      <c r="K10" s="41"/>
      <c r="L10" s="42"/>
      <c r="M10" s="41"/>
      <c r="N10" s="5"/>
      <c r="O10" s="43"/>
      <c r="P10" s="43"/>
      <c r="Q10" s="43"/>
      <c r="R10" s="41"/>
      <c r="S10" s="43"/>
      <c r="T10" s="43"/>
      <c r="U10" s="44"/>
    </row>
    <row r="11" spans="1:21" ht="12">
      <c r="A11" s="41" t="s">
        <v>1230</v>
      </c>
      <c r="B11" s="43" t="s">
        <v>779</v>
      </c>
      <c r="C11" s="45">
        <v>6.25</v>
      </c>
      <c r="D11" s="5">
        <v>38650</v>
      </c>
      <c r="E11" s="5">
        <f>D11*C11</f>
        <v>241562.5</v>
      </c>
      <c r="F11" s="5"/>
      <c r="G11" s="5">
        <f>E11+F11</f>
        <v>241562.5</v>
      </c>
      <c r="H11" s="5"/>
      <c r="I11" s="46">
        <f>G11*10%</f>
        <v>24156.25</v>
      </c>
      <c r="J11" s="46">
        <f>G11*10%</f>
        <v>24156.25</v>
      </c>
      <c r="K11" s="41"/>
      <c r="L11" s="42"/>
      <c r="M11" s="41" t="s">
        <v>1230</v>
      </c>
      <c r="N11" s="5">
        <f>(G11+H11+I11+J11+K11+L11)/12*12</f>
        <v>289875</v>
      </c>
      <c r="O11" s="47"/>
      <c r="P11" s="43"/>
      <c r="Q11" s="43"/>
      <c r="R11" s="5"/>
      <c r="S11" s="43"/>
      <c r="T11" s="43"/>
      <c r="U11" s="44"/>
    </row>
    <row r="12" spans="1:21" ht="12">
      <c r="A12" s="41"/>
      <c r="B12" s="43"/>
      <c r="C12" s="45"/>
      <c r="D12" s="5"/>
      <c r="E12" s="5"/>
      <c r="F12" s="5"/>
      <c r="G12" s="5"/>
      <c r="H12" s="5"/>
      <c r="I12" s="41"/>
      <c r="J12" s="41"/>
      <c r="K12" s="41"/>
      <c r="L12" s="42"/>
      <c r="M12" s="41"/>
      <c r="N12" s="5"/>
      <c r="O12" s="47"/>
      <c r="P12" s="43"/>
      <c r="Q12" s="47"/>
      <c r="R12" s="5"/>
      <c r="S12" s="43"/>
      <c r="T12" s="47"/>
      <c r="U12" s="44"/>
    </row>
    <row r="13" spans="1:21" ht="12">
      <c r="A13" s="41"/>
      <c r="B13" s="43"/>
      <c r="C13" s="45"/>
      <c r="D13" s="5"/>
      <c r="E13" s="5"/>
      <c r="F13" s="5"/>
      <c r="G13" s="5"/>
      <c r="H13" s="5"/>
      <c r="I13" s="41"/>
      <c r="J13" s="41"/>
      <c r="K13" s="41"/>
      <c r="L13" s="46"/>
      <c r="M13" s="41"/>
      <c r="N13" s="5"/>
      <c r="O13" s="47"/>
      <c r="P13" s="43"/>
      <c r="Q13" s="47"/>
      <c r="R13" s="5"/>
      <c r="S13" s="43"/>
      <c r="T13" s="47"/>
      <c r="U13" s="44"/>
    </row>
    <row r="14" spans="1:21" s="9" customFormat="1" ht="12">
      <c r="A14" s="2"/>
      <c r="B14" s="7"/>
      <c r="C14" s="3"/>
      <c r="D14" s="4"/>
      <c r="E14" s="4"/>
      <c r="F14" s="4"/>
      <c r="G14" s="4"/>
      <c r="H14" s="5"/>
      <c r="I14" s="2"/>
      <c r="J14" s="2"/>
      <c r="K14" s="2"/>
      <c r="L14" s="6"/>
      <c r="M14" s="2"/>
      <c r="N14" s="5"/>
      <c r="O14" s="10"/>
      <c r="P14" s="7"/>
      <c r="Q14" s="10"/>
      <c r="R14" s="5"/>
      <c r="S14" s="7"/>
      <c r="T14" s="10"/>
      <c r="U14" s="8"/>
    </row>
    <row r="15" spans="1:21" ht="12">
      <c r="A15" s="41"/>
      <c r="B15" s="41"/>
      <c r="C15" s="45"/>
      <c r="D15" s="5"/>
      <c r="E15" s="5"/>
      <c r="F15" s="5"/>
      <c r="G15" s="5"/>
      <c r="H15" s="5"/>
      <c r="I15" s="41"/>
      <c r="J15" s="41"/>
      <c r="K15" s="41"/>
      <c r="L15" s="42"/>
      <c r="M15" s="41"/>
      <c r="N15" s="5">
        <f>(G15+H15+I15+J15+K15+L15)/12*12</f>
        <v>0</v>
      </c>
      <c r="O15" s="43"/>
      <c r="P15" s="43"/>
      <c r="Q15" s="43"/>
      <c r="R15" s="5"/>
      <c r="S15" s="43"/>
      <c r="T15" s="43"/>
      <c r="U15" s="44"/>
    </row>
    <row r="16" spans="1:21" s="61" customFormat="1" ht="12">
      <c r="A16" s="56" t="s">
        <v>782</v>
      </c>
      <c r="B16" s="56"/>
      <c r="C16" s="57"/>
      <c r="D16" s="58"/>
      <c r="E16" s="58">
        <f aca="true" t="shared" si="0" ref="E16:L16">SUM(E11:E13)</f>
        <v>241562.5</v>
      </c>
      <c r="F16" s="58">
        <f t="shared" si="0"/>
        <v>0</v>
      </c>
      <c r="G16" s="58">
        <f t="shared" si="0"/>
        <v>241562.5</v>
      </c>
      <c r="H16" s="58">
        <f t="shared" si="0"/>
        <v>0</v>
      </c>
      <c r="I16" s="58">
        <f t="shared" si="0"/>
        <v>24156.25</v>
      </c>
      <c r="J16" s="58">
        <f t="shared" si="0"/>
        <v>24156.25</v>
      </c>
      <c r="K16" s="58">
        <f t="shared" si="0"/>
        <v>0</v>
      </c>
      <c r="L16" s="58">
        <f t="shared" si="0"/>
        <v>0</v>
      </c>
      <c r="M16" s="56" t="s">
        <v>782</v>
      </c>
      <c r="N16" s="58">
        <f>SUM(N11:N13)</f>
        <v>289875</v>
      </c>
      <c r="O16" s="60"/>
      <c r="P16" s="60"/>
      <c r="Q16" s="60"/>
      <c r="R16" s="58">
        <f>SUM(R11:R15)</f>
        <v>0</v>
      </c>
      <c r="S16" s="60"/>
      <c r="T16" s="60"/>
      <c r="U16" s="58">
        <f>SUM(U11:U15)</f>
        <v>0</v>
      </c>
    </row>
    <row r="17" spans="1:21" ht="12">
      <c r="A17" s="41"/>
      <c r="B17" s="41"/>
      <c r="C17" s="45"/>
      <c r="D17" s="5"/>
      <c r="E17" s="5"/>
      <c r="F17" s="5"/>
      <c r="G17" s="5"/>
      <c r="H17" s="5"/>
      <c r="I17" s="41"/>
      <c r="J17" s="41"/>
      <c r="K17" s="41"/>
      <c r="L17" s="42"/>
      <c r="M17" s="41"/>
      <c r="N17" s="5"/>
      <c r="O17" s="41"/>
      <c r="P17" s="41"/>
      <c r="Q17" s="41"/>
      <c r="R17" s="41"/>
      <c r="S17" s="41"/>
      <c r="T17" s="41"/>
      <c r="U17" s="44"/>
    </row>
    <row r="18" spans="1:21" ht="12">
      <c r="A18" s="41"/>
      <c r="B18" s="41"/>
      <c r="C18" s="45"/>
      <c r="D18" s="5"/>
      <c r="E18" s="5"/>
      <c r="F18" s="5"/>
      <c r="G18" s="5"/>
      <c r="H18" s="5"/>
      <c r="I18" s="41"/>
      <c r="J18" s="41"/>
      <c r="K18" s="41"/>
      <c r="L18" s="42"/>
      <c r="M18" s="41"/>
      <c r="N18" s="5"/>
      <c r="O18" s="41"/>
      <c r="P18" s="41"/>
      <c r="Q18" s="41"/>
      <c r="R18" s="41"/>
      <c r="S18" s="41"/>
      <c r="T18" s="41"/>
      <c r="U18" s="44"/>
    </row>
    <row r="19" spans="1:21" ht="12">
      <c r="A19" s="41"/>
      <c r="B19" s="41"/>
      <c r="C19" s="45"/>
      <c r="D19" s="5"/>
      <c r="E19" s="5"/>
      <c r="F19" s="5"/>
      <c r="G19" s="5"/>
      <c r="H19" s="5"/>
      <c r="I19" s="41"/>
      <c r="J19" s="41"/>
      <c r="K19" s="41"/>
      <c r="L19" s="42"/>
      <c r="M19" s="41"/>
      <c r="N19" s="5"/>
      <c r="O19" s="41"/>
      <c r="P19" s="41"/>
      <c r="Q19" s="41"/>
      <c r="R19" s="41"/>
      <c r="S19" s="41"/>
      <c r="T19" s="41"/>
      <c r="U19" s="44"/>
    </row>
    <row r="20" spans="1:21" ht="12">
      <c r="A20" s="49"/>
      <c r="B20" s="49"/>
      <c r="C20" s="50"/>
      <c r="D20" s="51"/>
      <c r="E20" s="51"/>
      <c r="F20" s="51"/>
      <c r="G20" s="51"/>
      <c r="H20" s="51"/>
      <c r="I20" s="49"/>
      <c r="J20" s="49"/>
      <c r="K20" s="49"/>
      <c r="L20" s="52"/>
      <c r="M20" s="49"/>
      <c r="N20" s="51"/>
      <c r="O20" s="49"/>
      <c r="P20" s="49"/>
      <c r="Q20" s="49"/>
      <c r="R20" s="49"/>
      <c r="S20" s="49"/>
      <c r="T20" s="49"/>
      <c r="U20" s="53"/>
    </row>
  </sheetData>
  <mergeCells count="23">
    <mergeCell ref="T1:T7"/>
    <mergeCell ref="U1:U7"/>
    <mergeCell ref="M1:M7"/>
    <mergeCell ref="N1:N7"/>
    <mergeCell ref="O1:O7"/>
    <mergeCell ref="P1:P7"/>
    <mergeCell ref="Q1:Q7"/>
    <mergeCell ref="R1:R7"/>
    <mergeCell ref="S1:S7"/>
    <mergeCell ref="D2:D7"/>
    <mergeCell ref="E2:E7"/>
    <mergeCell ref="G2:G7"/>
    <mergeCell ref="H2:H7"/>
    <mergeCell ref="B1:L1"/>
    <mergeCell ref="F2:F7"/>
    <mergeCell ref="A1:A7"/>
    <mergeCell ref="I2:L2"/>
    <mergeCell ref="I3:I7"/>
    <mergeCell ref="J3:J7"/>
    <mergeCell ref="K3:K7"/>
    <mergeCell ref="L3:L7"/>
    <mergeCell ref="B2:B7"/>
    <mergeCell ref="C2:C7"/>
  </mergeCells>
  <printOptions horizontalCentered="1"/>
  <pageMargins left="0.3937007874015748" right="0.35433070866141736" top="1.8110236220472442" bottom="0.984251968503937" header="0.5118110236220472" footer="0.5118110236220472"/>
  <pageSetup horizontalDpi="600" verticalDpi="600" orientation="landscape" paperSize="9" r:id="rId1"/>
  <headerFooter alignWithMargins="0">
    <oddHeader>&amp;C
&amp;"Arial,Félkövér dőlt"&amp;14KIMUTATÁS A KÖZTISZTVISELŐI ILLETMÉNYEK SZÁMÍTÁSÁHOZ&amp;R&amp;"Arial,Dőlt"&amp;8 10.számú melléklet</oddHeader>
    <oddFooter>&amp;C&amp;"Arial,Dőlt"&amp;8&amp;P.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85"/>
  <sheetViews>
    <sheetView workbookViewId="0" topLeftCell="A136">
      <selection activeCell="D150" sqref="D150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2" ht="12">
      <c r="A2" s="61" t="s">
        <v>783</v>
      </c>
    </row>
    <row r="4" spans="1:4" ht="38.25" customHeight="1">
      <c r="A4" s="317" t="s">
        <v>122</v>
      </c>
      <c r="B4" s="318"/>
      <c r="C4" s="318"/>
      <c r="D4" s="318"/>
    </row>
    <row r="6" ht="12">
      <c r="A6" s="37" t="s">
        <v>795</v>
      </c>
    </row>
    <row r="7" ht="12">
      <c r="A7" s="37" t="s">
        <v>796</v>
      </c>
    </row>
    <row r="9" ht="12">
      <c r="A9" s="37" t="s">
        <v>123</v>
      </c>
    </row>
    <row r="10" spans="2:3" ht="12">
      <c r="B10" s="13" t="s">
        <v>1196</v>
      </c>
      <c r="C10" s="63" t="s">
        <v>1197</v>
      </c>
    </row>
    <row r="11" spans="1:4" ht="12">
      <c r="A11" s="37" t="s">
        <v>124</v>
      </c>
      <c r="B11" s="243"/>
      <c r="C11" s="55">
        <v>20000</v>
      </c>
      <c r="D11" s="55">
        <f>ROUND(C11/1000,0)</f>
        <v>20</v>
      </c>
    </row>
    <row r="12" spans="1:4" ht="12">
      <c r="A12" s="37" t="s">
        <v>1198</v>
      </c>
      <c r="B12" s="243">
        <v>0</v>
      </c>
      <c r="C12" s="55">
        <f>166400+172000</f>
        <v>338400</v>
      </c>
      <c r="D12" s="55">
        <f>ROUND(C12/1000,0)</f>
        <v>338</v>
      </c>
    </row>
    <row r="13" spans="1:3" ht="12">
      <c r="A13" s="37" t="s">
        <v>534</v>
      </c>
      <c r="B13" s="243"/>
      <c r="C13" s="55">
        <v>9747578</v>
      </c>
    </row>
    <row r="14" spans="1:2" ht="12">
      <c r="A14" s="37" t="s">
        <v>1202</v>
      </c>
      <c r="B14" s="243"/>
    </row>
    <row r="15" spans="1:3" ht="12">
      <c r="A15" s="37" t="s">
        <v>1199</v>
      </c>
      <c r="B15" s="243"/>
      <c r="C15" s="55">
        <v>7968000</v>
      </c>
    </row>
    <row r="16" spans="1:3" ht="12">
      <c r="A16" s="37" t="s">
        <v>1200</v>
      </c>
      <c r="B16" s="243"/>
      <c r="C16" s="55">
        <v>9885000</v>
      </c>
    </row>
    <row r="17" spans="1:3" ht="12">
      <c r="A17" s="37" t="s">
        <v>1201</v>
      </c>
      <c r="B17" s="243"/>
      <c r="C17" s="55">
        <f>SUM(C15:C16)</f>
        <v>17853000</v>
      </c>
    </row>
    <row r="18" spans="1:4" ht="12">
      <c r="A18" s="37" t="s">
        <v>1203</v>
      </c>
      <c r="B18" s="243"/>
      <c r="C18" s="55">
        <f>C13+C17</f>
        <v>27600578</v>
      </c>
      <c r="D18" s="55">
        <f>ROUND(C18/1000,0)</f>
        <v>27601</v>
      </c>
    </row>
    <row r="19" spans="1:4" ht="12">
      <c r="A19" s="37" t="s">
        <v>123</v>
      </c>
      <c r="B19" s="243">
        <f>SUM(B11:B17)</f>
        <v>0</v>
      </c>
      <c r="C19" s="55">
        <f>C11+C12+C18</f>
        <v>27958978</v>
      </c>
      <c r="D19" s="55">
        <f>D11+D12+D18</f>
        <v>27959</v>
      </c>
    </row>
    <row r="21" ht="12">
      <c r="A21" s="37" t="s">
        <v>125</v>
      </c>
    </row>
    <row r="22" spans="2:3" ht="12">
      <c r="B22" s="13" t="s">
        <v>1196</v>
      </c>
      <c r="C22" s="63" t="s">
        <v>1197</v>
      </c>
    </row>
    <row r="23" spans="1:3" ht="12">
      <c r="A23" s="37" t="s">
        <v>1204</v>
      </c>
      <c r="B23" s="13">
        <v>57700</v>
      </c>
      <c r="C23" s="55">
        <v>150000</v>
      </c>
    </row>
    <row r="24" spans="1:3" ht="12">
      <c r="A24" s="37" t="s">
        <v>1205</v>
      </c>
      <c r="B24" s="243"/>
      <c r="C24" s="55">
        <v>60000</v>
      </c>
    </row>
    <row r="25" spans="1:2" ht="12">
      <c r="A25" s="27" t="s">
        <v>1343</v>
      </c>
      <c r="B25" s="243"/>
    </row>
    <row r="26" spans="1:4" ht="12">
      <c r="A26" s="37" t="s">
        <v>125</v>
      </c>
      <c r="B26" s="13">
        <f>SUM(B23:B24)</f>
        <v>57700</v>
      </c>
      <c r="C26" s="55">
        <f>SUM(C23:C24)</f>
        <v>210000</v>
      </c>
      <c r="D26" s="55">
        <f>ROUND(C26/1000,0)</f>
        <v>210</v>
      </c>
    </row>
    <row r="28" spans="1:2" ht="12">
      <c r="A28" s="37" t="s">
        <v>126</v>
      </c>
      <c r="B28" s="13" t="s">
        <v>1195</v>
      </c>
    </row>
    <row r="29" spans="1:3" ht="12">
      <c r="A29" s="37" t="s">
        <v>788</v>
      </c>
      <c r="C29" s="55">
        <v>500000</v>
      </c>
    </row>
    <row r="30" spans="1:4" ht="12">
      <c r="A30" s="37" t="s">
        <v>126</v>
      </c>
      <c r="C30" s="55">
        <f>SUM(C29)</f>
        <v>500000</v>
      </c>
      <c r="D30" s="55">
        <f>ROUND(C30/1000,0)</f>
        <v>500</v>
      </c>
    </row>
    <row r="31" ht="12">
      <c r="A31" s="37" t="s">
        <v>9</v>
      </c>
    </row>
    <row r="32" spans="1:4" ht="12">
      <c r="A32" s="37" t="s">
        <v>799</v>
      </c>
      <c r="C32" s="55">
        <v>576669</v>
      </c>
      <c r="D32" s="55">
        <f>ROUND(C32/1000,0)</f>
        <v>577</v>
      </c>
    </row>
    <row r="33" spans="1:4" ht="12">
      <c r="A33" s="37" t="s">
        <v>9</v>
      </c>
      <c r="C33" s="55">
        <f>SUM(C32)</f>
        <v>576669</v>
      </c>
      <c r="D33" s="55">
        <f>SUM(D32)</f>
        <v>577</v>
      </c>
    </row>
    <row r="34" ht="12">
      <c r="A34" s="37" t="s">
        <v>789</v>
      </c>
    </row>
    <row r="35" ht="12">
      <c r="A35" s="37" t="s">
        <v>790</v>
      </c>
    </row>
    <row r="36" ht="12">
      <c r="A36" s="37" t="s">
        <v>502</v>
      </c>
    </row>
    <row r="37" spans="1:4" ht="12">
      <c r="A37" s="37" t="s">
        <v>50</v>
      </c>
      <c r="C37" s="55">
        <v>500000</v>
      </c>
      <c r="D37" s="55">
        <v>500</v>
      </c>
    </row>
    <row r="39" ht="12">
      <c r="A39" s="61" t="s">
        <v>797</v>
      </c>
    </row>
    <row r="40" ht="12">
      <c r="A40" s="9" t="s">
        <v>503</v>
      </c>
    </row>
    <row r="42" spans="1:3" ht="12">
      <c r="A42" s="9" t="s">
        <v>162</v>
      </c>
      <c r="B42" s="14" t="s">
        <v>160</v>
      </c>
      <c r="C42" s="14" t="s">
        <v>161</v>
      </c>
    </row>
    <row r="43" ht="12">
      <c r="A43" s="37" t="s">
        <v>791</v>
      </c>
    </row>
    <row r="44" ht="12">
      <c r="A44" s="37" t="s">
        <v>1210</v>
      </c>
    </row>
    <row r="45" spans="1:3" ht="12">
      <c r="A45" s="37" t="s">
        <v>792</v>
      </c>
      <c r="B45" s="55">
        <f>hil!C6</f>
        <v>300000</v>
      </c>
      <c r="C45" s="55">
        <f>B45*1</f>
        <v>300000</v>
      </c>
    </row>
    <row r="46" spans="1:3" ht="12">
      <c r="A46" s="37" t="s">
        <v>793</v>
      </c>
      <c r="B46" s="55">
        <f>hil!D6</f>
        <v>300000</v>
      </c>
      <c r="C46" s="55">
        <f>B46*11</f>
        <v>3300000</v>
      </c>
    </row>
    <row r="47" spans="1:3" ht="12">
      <c r="A47" s="37" t="s">
        <v>741</v>
      </c>
      <c r="C47" s="55">
        <f>hil!C6</f>
        <v>300000</v>
      </c>
    </row>
    <row r="48" spans="1:4" ht="12">
      <c r="A48" s="37" t="s">
        <v>1210</v>
      </c>
      <c r="C48" s="55">
        <f>SUM(C45:C47)</f>
        <v>3900000</v>
      </c>
      <c r="D48" s="55">
        <f>ROUND(C48/1000,0)</f>
        <v>3900</v>
      </c>
    </row>
    <row r="49" ht="12">
      <c r="A49" s="37" t="s">
        <v>1211</v>
      </c>
    </row>
    <row r="50" spans="1:3" ht="12">
      <c r="A50" s="37" t="s">
        <v>792</v>
      </c>
      <c r="B50" s="55">
        <f>hil!C22</f>
        <v>70000</v>
      </c>
      <c r="C50" s="55">
        <f>B50*1</f>
        <v>70000</v>
      </c>
    </row>
    <row r="51" spans="1:3" ht="12">
      <c r="A51" s="37" t="s">
        <v>793</v>
      </c>
      <c r="B51" s="55">
        <f>hil!D22</f>
        <v>73500</v>
      </c>
      <c r="C51" s="55">
        <f>B51*11</f>
        <v>808500</v>
      </c>
    </row>
    <row r="52" spans="1:4" ht="12">
      <c r="A52" s="37" t="s">
        <v>1211</v>
      </c>
      <c r="C52" s="55">
        <f>SUM(C50:C51)</f>
        <v>878500</v>
      </c>
      <c r="D52" s="55">
        <f>ROUND(C52/1000,0)</f>
        <v>879</v>
      </c>
    </row>
    <row r="53" spans="1:4" ht="12">
      <c r="A53" s="37" t="s">
        <v>1212</v>
      </c>
      <c r="C53" s="55">
        <f>C48+C52</f>
        <v>4778500</v>
      </c>
      <c r="D53" s="55">
        <f>D48+D52</f>
        <v>4779</v>
      </c>
    </row>
    <row r="54" spans="1:4" s="9" customFormat="1" ht="12">
      <c r="A54" s="9" t="s">
        <v>162</v>
      </c>
      <c r="B54" s="243"/>
      <c r="C54" s="243">
        <f>C53</f>
        <v>4778500</v>
      </c>
      <c r="D54" s="243">
        <f>D53</f>
        <v>4779</v>
      </c>
    </row>
    <row r="56" ht="12">
      <c r="A56" s="9" t="s">
        <v>163</v>
      </c>
    </row>
    <row r="57" ht="12">
      <c r="A57" s="37" t="s">
        <v>164</v>
      </c>
    </row>
    <row r="58" spans="1:4" ht="12">
      <c r="A58" s="37" t="s">
        <v>794</v>
      </c>
      <c r="C58" s="55">
        <f>hil!D6+hil!D22-500</f>
        <v>373000</v>
      </c>
      <c r="D58" s="55">
        <f>ROUND(C58/1000,0)</f>
        <v>373</v>
      </c>
    </row>
    <row r="60" ht="12">
      <c r="A60" s="37" t="s">
        <v>1068</v>
      </c>
    </row>
    <row r="61" ht="12">
      <c r="A61" s="37" t="s">
        <v>1213</v>
      </c>
    </row>
    <row r="62" spans="1:2" ht="12">
      <c r="A62" s="37" t="s">
        <v>1215</v>
      </c>
      <c r="B62" s="55">
        <v>1</v>
      </c>
    </row>
    <row r="63" spans="1:2" ht="12">
      <c r="A63" s="37" t="s">
        <v>1214</v>
      </c>
      <c r="B63" s="55">
        <v>38650</v>
      </c>
    </row>
    <row r="64" spans="1:4" ht="12">
      <c r="A64" s="37" t="s">
        <v>1213</v>
      </c>
      <c r="C64" s="55">
        <f>B62*B63*2</f>
        <v>77300</v>
      </c>
      <c r="D64" s="55">
        <f>ROUND(C64/1000,0)</f>
        <v>77</v>
      </c>
    </row>
    <row r="65" ht="12">
      <c r="A65" s="37" t="s">
        <v>170</v>
      </c>
    </row>
    <row r="66" spans="1:2" ht="12">
      <c r="A66" s="37" t="s">
        <v>1069</v>
      </c>
      <c r="B66" s="55">
        <v>2</v>
      </c>
    </row>
    <row r="67" spans="1:2" ht="12">
      <c r="A67" s="37" t="s">
        <v>1070</v>
      </c>
      <c r="B67" s="55">
        <v>12000</v>
      </c>
    </row>
    <row r="68" spans="1:4" ht="12">
      <c r="A68" s="37" t="s">
        <v>170</v>
      </c>
      <c r="C68" s="55">
        <f>B66*B67*12</f>
        <v>288000</v>
      </c>
      <c r="D68" s="55">
        <f>ROUND(C68/1000,0)</f>
        <v>288</v>
      </c>
    </row>
    <row r="70" spans="1:3" ht="12">
      <c r="A70" s="37" t="s">
        <v>1071</v>
      </c>
      <c r="B70" s="63" t="s">
        <v>160</v>
      </c>
      <c r="C70" s="63" t="s">
        <v>161</v>
      </c>
    </row>
    <row r="71" spans="1:3" ht="12">
      <c r="A71" s="37" t="s">
        <v>1072</v>
      </c>
      <c r="B71" s="55">
        <f>hil!$E$6</f>
        <v>75000</v>
      </c>
      <c r="C71" s="55">
        <f>B71*12</f>
        <v>900000</v>
      </c>
    </row>
    <row r="72" spans="1:4" ht="12">
      <c r="A72" s="37" t="s">
        <v>1071</v>
      </c>
      <c r="B72" s="55">
        <f>hil!$E$6</f>
        <v>75000</v>
      </c>
      <c r="C72" s="55">
        <f>B72*12</f>
        <v>900000</v>
      </c>
      <c r="D72" s="55">
        <f>ROUND(C72/1000,0)</f>
        <v>900</v>
      </c>
    </row>
    <row r="73" spans="1:4" ht="12">
      <c r="A73" s="37" t="s">
        <v>1216</v>
      </c>
      <c r="C73" s="55">
        <f>C64+C68+C72</f>
        <v>1265300</v>
      </c>
      <c r="D73" s="55">
        <f>D64+D68+D72</f>
        <v>1265</v>
      </c>
    </row>
    <row r="74" spans="1:4" s="9" customFormat="1" ht="12">
      <c r="A74" s="9" t="s">
        <v>163</v>
      </c>
      <c r="B74" s="243"/>
      <c r="C74" s="243">
        <f>C58+C73</f>
        <v>1638300</v>
      </c>
      <c r="D74" s="243">
        <f>D58+D73</f>
        <v>1638</v>
      </c>
    </row>
    <row r="75" spans="2:4" s="9" customFormat="1" ht="12">
      <c r="B75" s="243"/>
      <c r="C75" s="243"/>
      <c r="D75" s="243"/>
    </row>
    <row r="76" ht="12">
      <c r="A76" s="9" t="s">
        <v>347</v>
      </c>
    </row>
    <row r="77" spans="1:3" ht="12">
      <c r="A77" s="37" t="s">
        <v>1073</v>
      </c>
      <c r="B77" s="37"/>
      <c r="C77" s="37"/>
    </row>
    <row r="78" spans="2:3" ht="12">
      <c r="B78" s="63" t="s">
        <v>160</v>
      </c>
      <c r="C78" s="63" t="s">
        <v>161</v>
      </c>
    </row>
    <row r="79" spans="1:4" ht="12">
      <c r="A79" s="37" t="s">
        <v>159</v>
      </c>
      <c r="B79" s="55">
        <f>hil!$D$14</f>
        <v>190000</v>
      </c>
      <c r="C79" s="55">
        <f>B79*12</f>
        <v>2280000</v>
      </c>
      <c r="D79" s="55">
        <f>ROUND(C79/1000,0)</f>
        <v>2280</v>
      </c>
    </row>
    <row r="80" ht="12">
      <c r="A80" s="37" t="s">
        <v>235</v>
      </c>
    </row>
    <row r="81" ht="12">
      <c r="A81" s="37" t="s">
        <v>236</v>
      </c>
    </row>
    <row r="82" spans="1:2" ht="12">
      <c r="A82" s="37" t="s">
        <v>237</v>
      </c>
      <c r="B82" s="55">
        <v>2</v>
      </c>
    </row>
    <row r="83" spans="1:2" ht="12">
      <c r="A83" s="37" t="s">
        <v>238</v>
      </c>
      <c r="B83" s="55">
        <v>1500</v>
      </c>
    </row>
    <row r="84" spans="1:4" ht="12">
      <c r="A84" s="37" t="s">
        <v>239</v>
      </c>
      <c r="C84" s="55">
        <f>B82*B83*12</f>
        <v>36000</v>
      </c>
      <c r="D84" s="55">
        <f>ROUND(C84/1000,0)</f>
        <v>36</v>
      </c>
    </row>
    <row r="85" spans="1:4" s="9" customFormat="1" ht="12">
      <c r="A85" s="9" t="s">
        <v>240</v>
      </c>
      <c r="B85" s="243"/>
      <c r="C85" s="243">
        <f>C79+C84</f>
        <v>2316000</v>
      </c>
      <c r="D85" s="243">
        <f>D79+D84</f>
        <v>2316</v>
      </c>
    </row>
    <row r="87" spans="1:4" s="61" customFormat="1" ht="12">
      <c r="A87" s="61" t="s">
        <v>1275</v>
      </c>
      <c r="B87" s="226"/>
      <c r="C87" s="226">
        <f>C54+C74+C85</f>
        <v>8732800</v>
      </c>
      <c r="D87" s="226">
        <f>D54+D74+D85</f>
        <v>8733</v>
      </c>
    </row>
    <row r="89" ht="12">
      <c r="A89" s="61" t="s">
        <v>1276</v>
      </c>
    </row>
    <row r="90" spans="1:3" ht="12">
      <c r="A90" s="37" t="s">
        <v>1277</v>
      </c>
      <c r="B90" s="63" t="s">
        <v>175</v>
      </c>
      <c r="C90" s="63" t="s">
        <v>1129</v>
      </c>
    </row>
    <row r="91" spans="1:4" ht="12">
      <c r="A91" s="37" t="s">
        <v>1130</v>
      </c>
      <c r="B91" s="55">
        <f>C54+C58+C79</f>
        <v>7431500</v>
      </c>
      <c r="C91" s="55">
        <f>B91*24%</f>
        <v>1783560</v>
      </c>
      <c r="D91" s="55">
        <f>ROUND(C91/1000,0)</f>
        <v>1784</v>
      </c>
    </row>
    <row r="92" spans="2:3" ht="12">
      <c r="B92" s="63" t="s">
        <v>175</v>
      </c>
      <c r="C92" s="63" t="s">
        <v>1131</v>
      </c>
    </row>
    <row r="93" spans="1:4" ht="12">
      <c r="A93" s="37" t="s">
        <v>1132</v>
      </c>
      <c r="B93" s="55">
        <f>C54+C58+C79</f>
        <v>7431500</v>
      </c>
      <c r="C93" s="55">
        <f>B93*4.5%</f>
        <v>334417.5</v>
      </c>
      <c r="D93" s="55">
        <f>ROUND(C93/1000,0)</f>
        <v>334</v>
      </c>
    </row>
    <row r="94" spans="2:3" ht="12">
      <c r="B94" s="63" t="s">
        <v>175</v>
      </c>
      <c r="C94" s="63" t="s">
        <v>1134</v>
      </c>
    </row>
    <row r="95" spans="1:4" ht="12">
      <c r="A95" s="37" t="s">
        <v>1133</v>
      </c>
      <c r="B95" s="55">
        <f>C54+C58+C79</f>
        <v>7431500</v>
      </c>
      <c r="C95" s="55">
        <f>B95*0.5%</f>
        <v>37157.5</v>
      </c>
      <c r="D95" s="55">
        <f>ROUND(C95/1000,0)</f>
        <v>37</v>
      </c>
    </row>
    <row r="96" spans="1:4" ht="12">
      <c r="A96" s="37" t="s">
        <v>1135</v>
      </c>
      <c r="C96" s="55">
        <f>C91+C93+C95</f>
        <v>2155135</v>
      </c>
      <c r="D96" s="55">
        <f>D91+D93+D95</f>
        <v>2155</v>
      </c>
    </row>
    <row r="98" spans="2:3" ht="12">
      <c r="B98" s="63" t="s">
        <v>175</v>
      </c>
      <c r="C98" s="63" t="s">
        <v>176</v>
      </c>
    </row>
    <row r="99" spans="1:4" ht="12">
      <c r="A99" s="37" t="s">
        <v>177</v>
      </c>
      <c r="B99" s="55">
        <f>C54+C58</f>
        <v>5151500</v>
      </c>
      <c r="C99" s="55">
        <f>B99*3%</f>
        <v>154545</v>
      </c>
      <c r="D99" s="55">
        <f>ROUND(C99/1000,0)</f>
        <v>155</v>
      </c>
    </row>
    <row r="101" ht="12">
      <c r="A101" s="37" t="s">
        <v>841</v>
      </c>
    </row>
    <row r="102" spans="1:2" ht="12">
      <c r="A102" s="37" t="s">
        <v>842</v>
      </c>
      <c r="B102" s="55">
        <v>2</v>
      </c>
    </row>
    <row r="103" spans="1:3" ht="12">
      <c r="A103" s="37" t="s">
        <v>1228</v>
      </c>
      <c r="B103" s="55">
        <v>1950</v>
      </c>
      <c r="C103" s="55">
        <f>B102*B103*12</f>
        <v>46800</v>
      </c>
    </row>
    <row r="104" spans="2:3" ht="12">
      <c r="B104" s="14" t="s">
        <v>1150</v>
      </c>
      <c r="C104" s="14" t="s">
        <v>2</v>
      </c>
    </row>
    <row r="105" spans="1:3" ht="12">
      <c r="A105" s="37" t="s">
        <v>1</v>
      </c>
      <c r="B105" s="55">
        <f>C79+C84</f>
        <v>2316000</v>
      </c>
      <c r="C105" s="55">
        <f>B105*11%</f>
        <v>254760</v>
      </c>
    </row>
    <row r="106" spans="1:4" ht="12">
      <c r="A106" s="37" t="s">
        <v>841</v>
      </c>
      <c r="C106" s="55">
        <f>C103+C105</f>
        <v>301560</v>
      </c>
      <c r="D106" s="55">
        <f>ROUND(C106/1000,0)-1</f>
        <v>301</v>
      </c>
    </row>
    <row r="108" spans="1:4" s="61" customFormat="1" ht="12">
      <c r="A108" s="61" t="s">
        <v>1276</v>
      </c>
      <c r="B108" s="226"/>
      <c r="C108" s="226">
        <f>C96+C99+C106</f>
        <v>2611240</v>
      </c>
      <c r="D108" s="226">
        <f>D96+D99+D106</f>
        <v>2611</v>
      </c>
    </row>
    <row r="110" ht="12">
      <c r="A110" s="61" t="s">
        <v>1278</v>
      </c>
    </row>
    <row r="112" spans="1:3" ht="12">
      <c r="A112" s="9" t="s">
        <v>241</v>
      </c>
      <c r="B112" s="13" t="s">
        <v>1196</v>
      </c>
      <c r="C112" s="63" t="s">
        <v>1197</v>
      </c>
    </row>
    <row r="113" spans="1:4" ht="12">
      <c r="A113" s="37" t="s">
        <v>242</v>
      </c>
      <c r="B113" s="13">
        <v>374341</v>
      </c>
      <c r="C113" s="55">
        <v>375000</v>
      </c>
      <c r="D113" s="55">
        <f>ROUND(C113/1000,0)</f>
        <v>375</v>
      </c>
    </row>
    <row r="114" spans="1:4" ht="12">
      <c r="A114" s="37" t="s">
        <v>3</v>
      </c>
      <c r="B114" s="13">
        <v>6780</v>
      </c>
      <c r="C114" s="55">
        <v>20000</v>
      </c>
      <c r="D114" s="55">
        <f aca="true" t="shared" si="0" ref="D114:D120">ROUND(C114/1000,0)</f>
        <v>20</v>
      </c>
    </row>
    <row r="115" spans="1:4" ht="12">
      <c r="A115" s="37" t="s">
        <v>4</v>
      </c>
      <c r="B115" s="13">
        <v>32461</v>
      </c>
      <c r="C115" s="55">
        <v>150000</v>
      </c>
      <c r="D115" s="55">
        <f t="shared" si="0"/>
        <v>150</v>
      </c>
    </row>
    <row r="116" spans="1:4" ht="12">
      <c r="A116" s="37" t="s">
        <v>5</v>
      </c>
      <c r="B116" s="13">
        <v>89000</v>
      </c>
      <c r="C116" s="55">
        <v>30000</v>
      </c>
      <c r="D116" s="55">
        <f t="shared" si="0"/>
        <v>30</v>
      </c>
    </row>
    <row r="117" spans="1:4" ht="12">
      <c r="A117" s="37" t="s">
        <v>243</v>
      </c>
      <c r="B117" s="13"/>
      <c r="D117" s="55">
        <f t="shared" si="0"/>
        <v>0</v>
      </c>
    </row>
    <row r="118" spans="1:4" ht="12">
      <c r="A118" s="37" t="s">
        <v>6</v>
      </c>
      <c r="B118" s="13">
        <v>37575</v>
      </c>
      <c r="C118" s="55">
        <v>40000</v>
      </c>
      <c r="D118" s="55">
        <f t="shared" si="0"/>
        <v>40</v>
      </c>
    </row>
    <row r="119" spans="1:4" ht="12">
      <c r="A119" s="37" t="s">
        <v>7</v>
      </c>
      <c r="B119" s="13">
        <v>0</v>
      </c>
      <c r="C119" s="55">
        <v>80000</v>
      </c>
      <c r="D119" s="55">
        <f t="shared" si="0"/>
        <v>80</v>
      </c>
    </row>
    <row r="120" spans="1:4" ht="12">
      <c r="A120" s="37" t="s">
        <v>1100</v>
      </c>
      <c r="B120" s="13">
        <v>72402</v>
      </c>
      <c r="C120" s="55">
        <v>80000</v>
      </c>
      <c r="D120" s="55">
        <f t="shared" si="0"/>
        <v>80</v>
      </c>
    </row>
    <row r="121" spans="1:4" s="9" customFormat="1" ht="12">
      <c r="A121" s="9" t="s">
        <v>1101</v>
      </c>
      <c r="B121" s="13">
        <f>SUM(B113:B120)</f>
        <v>612559</v>
      </c>
      <c r="C121" s="243">
        <f>SUM(C113:C120)</f>
        <v>775000</v>
      </c>
      <c r="D121" s="243">
        <f>SUM(D113:D120)</f>
        <v>775</v>
      </c>
    </row>
    <row r="122" ht="12">
      <c r="B122" s="16"/>
    </row>
    <row r="123" spans="1:2" ht="12">
      <c r="A123" s="9" t="s">
        <v>847</v>
      </c>
      <c r="B123" s="16"/>
    </row>
    <row r="124" spans="1:4" ht="12">
      <c r="A124" s="37" t="s">
        <v>1102</v>
      </c>
      <c r="B124" s="13">
        <v>679183</v>
      </c>
      <c r="C124" s="55">
        <v>650000</v>
      </c>
      <c r="D124" s="55">
        <f aca="true" t="shared" si="1" ref="D124:D135">ROUND(C124/1000,0)</f>
        <v>650</v>
      </c>
    </row>
    <row r="125" spans="1:4" ht="12">
      <c r="A125" s="37" t="s">
        <v>147</v>
      </c>
      <c r="B125" s="13"/>
      <c r="C125" s="55">
        <v>20000</v>
      </c>
      <c r="D125" s="55">
        <f t="shared" si="1"/>
        <v>20</v>
      </c>
    </row>
    <row r="126" spans="1:4" ht="12">
      <c r="A126" s="37" t="s">
        <v>1103</v>
      </c>
      <c r="B126" s="13">
        <v>243000</v>
      </c>
      <c r="C126" s="55">
        <v>130000</v>
      </c>
      <c r="D126" s="55">
        <f t="shared" si="1"/>
        <v>130</v>
      </c>
    </row>
    <row r="127" spans="1:4" ht="12">
      <c r="A127" s="37" t="s">
        <v>1104</v>
      </c>
      <c r="B127" s="13"/>
      <c r="D127" s="55">
        <f t="shared" si="1"/>
        <v>0</v>
      </c>
    </row>
    <row r="128" spans="1:4" ht="12">
      <c r="A128" s="37" t="s">
        <v>1105</v>
      </c>
      <c r="B128" s="13">
        <v>54589</v>
      </c>
      <c r="C128" s="55">
        <v>50000</v>
      </c>
      <c r="D128" s="55">
        <f t="shared" si="1"/>
        <v>50</v>
      </c>
    </row>
    <row r="129" spans="1:4" ht="12">
      <c r="A129" s="37" t="s">
        <v>151</v>
      </c>
      <c r="B129" s="13">
        <v>29440</v>
      </c>
      <c r="C129" s="55">
        <v>5000</v>
      </c>
      <c r="D129" s="55">
        <f t="shared" si="1"/>
        <v>5</v>
      </c>
    </row>
    <row r="130" spans="1:4" ht="12">
      <c r="A130" s="37" t="s">
        <v>152</v>
      </c>
      <c r="B130" s="13">
        <v>774720</v>
      </c>
      <c r="C130" s="55">
        <v>700000</v>
      </c>
      <c r="D130" s="55">
        <f t="shared" si="1"/>
        <v>700</v>
      </c>
    </row>
    <row r="131" spans="1:4" ht="12">
      <c r="A131" s="37" t="s">
        <v>1106</v>
      </c>
      <c r="B131" s="13">
        <v>126526</v>
      </c>
      <c r="C131" s="55">
        <v>150000</v>
      </c>
      <c r="D131" s="55">
        <f t="shared" si="1"/>
        <v>150</v>
      </c>
    </row>
    <row r="132" spans="1:4" ht="12">
      <c r="A132" s="37" t="s">
        <v>1107</v>
      </c>
      <c r="B132" s="13">
        <v>17792</v>
      </c>
      <c r="C132" s="55">
        <v>20000</v>
      </c>
      <c r="D132" s="55">
        <f t="shared" si="1"/>
        <v>20</v>
      </c>
    </row>
    <row r="133" spans="1:4" ht="12">
      <c r="A133" s="37" t="s">
        <v>1163</v>
      </c>
      <c r="B133" s="13">
        <v>381866</v>
      </c>
      <c r="C133" s="55">
        <v>350000</v>
      </c>
      <c r="D133" s="55">
        <f t="shared" si="1"/>
        <v>350</v>
      </c>
    </row>
    <row r="134" spans="1:4" ht="12">
      <c r="A134" s="37" t="s">
        <v>1108</v>
      </c>
      <c r="B134" s="13">
        <v>109686</v>
      </c>
      <c r="C134" s="55">
        <v>120000</v>
      </c>
      <c r="D134" s="55">
        <f t="shared" si="1"/>
        <v>120</v>
      </c>
    </row>
    <row r="135" spans="1:4" ht="12">
      <c r="A135" s="37" t="s">
        <v>849</v>
      </c>
      <c r="B135" s="13">
        <v>382598</v>
      </c>
      <c r="C135" s="55">
        <v>100000</v>
      </c>
      <c r="D135" s="55">
        <f t="shared" si="1"/>
        <v>100</v>
      </c>
    </row>
    <row r="136" spans="1:4" s="9" customFormat="1" ht="12">
      <c r="A136" s="9" t="s">
        <v>850</v>
      </c>
      <c r="B136" s="13">
        <f>SUM(B124:B135)</f>
        <v>2799400</v>
      </c>
      <c r="C136" s="243">
        <f>SUM(C124:C135)</f>
        <v>2295000</v>
      </c>
      <c r="D136" s="243">
        <f>SUM(D124:D135)</f>
        <v>2295</v>
      </c>
    </row>
    <row r="137" ht="12">
      <c r="B137" s="16"/>
    </row>
    <row r="138" spans="1:3" ht="12">
      <c r="A138" s="37" t="s">
        <v>1109</v>
      </c>
      <c r="B138" s="63" t="s">
        <v>853</v>
      </c>
      <c r="C138" s="14" t="s">
        <v>854</v>
      </c>
    </row>
    <row r="139" spans="1:3" ht="12">
      <c r="A139" s="37" t="s">
        <v>1110</v>
      </c>
      <c r="B139" s="55">
        <f>C114</f>
        <v>20000</v>
      </c>
      <c r="C139" s="55">
        <f>B139*5%</f>
        <v>1000</v>
      </c>
    </row>
    <row r="140" spans="1:3" ht="12">
      <c r="A140" s="37" t="s">
        <v>1229</v>
      </c>
      <c r="B140" s="55">
        <f>C121-C114+C136+C145</f>
        <v>3209770</v>
      </c>
      <c r="C140" s="55">
        <f>B140*20%</f>
        <v>641954</v>
      </c>
    </row>
    <row r="141" spans="1:4" ht="12">
      <c r="A141" s="37" t="s">
        <v>1111</v>
      </c>
      <c r="B141" s="55">
        <f>SUM(B139:B140)</f>
        <v>3229770</v>
      </c>
      <c r="C141" s="55">
        <f>SUM(C139:C140)</f>
        <v>642954</v>
      </c>
      <c r="D141" s="55">
        <f>ROUND(C141/1000,0)</f>
        <v>643</v>
      </c>
    </row>
    <row r="143" spans="1:3" ht="12">
      <c r="A143" s="37" t="s">
        <v>1114</v>
      </c>
      <c r="B143" s="13" t="s">
        <v>1196</v>
      </c>
      <c r="C143" s="63" t="s">
        <v>1197</v>
      </c>
    </row>
    <row r="144" spans="1:4" ht="12">
      <c r="A144" s="37" t="s">
        <v>302</v>
      </c>
      <c r="B144" s="13">
        <v>59360</v>
      </c>
      <c r="C144" s="55">
        <v>60000</v>
      </c>
      <c r="D144" s="55">
        <f>ROUND(C144/1000,0)</f>
        <v>60</v>
      </c>
    </row>
    <row r="145" spans="1:4" ht="12">
      <c r="A145" s="37" t="s">
        <v>1115</v>
      </c>
      <c r="B145" s="13">
        <v>108554</v>
      </c>
      <c r="C145" s="55">
        <v>159770</v>
      </c>
      <c r="D145" s="55">
        <f>ROUND(C145/1000,0)</f>
        <v>160</v>
      </c>
    </row>
    <row r="146" spans="1:4" ht="12">
      <c r="A146" s="37" t="s">
        <v>1116</v>
      </c>
      <c r="B146" s="16"/>
      <c r="C146" s="55">
        <f>SUM(C144:C145)</f>
        <v>219770</v>
      </c>
      <c r="D146" s="55">
        <f>SUM(D144:D145)</f>
        <v>220</v>
      </c>
    </row>
    <row r="148" spans="1:3" ht="12">
      <c r="A148" s="37" t="s">
        <v>1117</v>
      </c>
      <c r="B148" s="13" t="s">
        <v>1196</v>
      </c>
      <c r="C148" s="63" t="s">
        <v>1197</v>
      </c>
    </row>
    <row r="149" ht="12">
      <c r="B149" s="14">
        <v>455368</v>
      </c>
    </row>
    <row r="150" spans="1:3" ht="12">
      <c r="A150" s="37" t="s">
        <v>1118</v>
      </c>
      <c r="C150" s="55">
        <v>600000</v>
      </c>
    </row>
    <row r="151" spans="1:3" ht="12">
      <c r="A151" s="37" t="s">
        <v>1136</v>
      </c>
      <c r="C151" s="55">
        <v>150000</v>
      </c>
    </row>
    <row r="152" spans="1:4" ht="12">
      <c r="A152" s="37" t="s">
        <v>1119</v>
      </c>
      <c r="C152" s="55">
        <f>SUM(C150:C151)</f>
        <v>750000</v>
      </c>
      <c r="D152" s="55">
        <f>ROUND(C152/1000,0)</f>
        <v>750</v>
      </c>
    </row>
    <row r="154" spans="1:4" ht="12">
      <c r="A154" s="37" t="s">
        <v>1120</v>
      </c>
      <c r="C154" s="55">
        <f>C141+C146+C152</f>
        <v>1612724</v>
      </c>
      <c r="D154" s="55">
        <f>D141+D146+D152</f>
        <v>1613</v>
      </c>
    </row>
    <row r="156" spans="1:4" s="61" customFormat="1" ht="12">
      <c r="A156" s="61" t="s">
        <v>1278</v>
      </c>
      <c r="B156" s="226"/>
      <c r="C156" s="226">
        <f>C121+C136+C154</f>
        <v>4682724</v>
      </c>
      <c r="D156" s="226">
        <f>D121+D136+D154</f>
        <v>4683</v>
      </c>
    </row>
    <row r="158" ht="12">
      <c r="A158" s="61" t="s">
        <v>305</v>
      </c>
    </row>
    <row r="159" spans="2:3" ht="12">
      <c r="B159" s="13" t="s">
        <v>1196</v>
      </c>
      <c r="C159" s="63" t="s">
        <v>1197</v>
      </c>
    </row>
    <row r="161" spans="1:4" ht="12">
      <c r="A161" s="37" t="s">
        <v>1121</v>
      </c>
      <c r="B161" s="55">
        <v>960431</v>
      </c>
      <c r="C161" s="55">
        <v>500000</v>
      </c>
      <c r="D161" s="55">
        <f>ROUND(C161/1000,0)</f>
        <v>500</v>
      </c>
    </row>
    <row r="162" ht="12">
      <c r="A162" s="37" t="s">
        <v>497</v>
      </c>
    </row>
    <row r="163" ht="12">
      <c r="A163" s="37" t="s">
        <v>498</v>
      </c>
    </row>
    <row r="164" ht="12">
      <c r="A164" s="37" t="s">
        <v>499</v>
      </c>
    </row>
    <row r="165" spans="1:4" ht="12">
      <c r="A165" s="37" t="s">
        <v>1121</v>
      </c>
      <c r="C165" s="55">
        <f>SUM(C161:C164)</f>
        <v>500000</v>
      </c>
      <c r="D165" s="55">
        <f>SUM(D161:D164)</f>
        <v>500</v>
      </c>
    </row>
    <row r="167" spans="1:2" ht="12">
      <c r="A167" s="37" t="s">
        <v>500</v>
      </c>
      <c r="B167" s="55">
        <v>1168344</v>
      </c>
    </row>
    <row r="168" spans="1:3" ht="12">
      <c r="A168" s="37" t="s">
        <v>1137</v>
      </c>
      <c r="C168" s="55">
        <v>865000</v>
      </c>
    </row>
    <row r="169" spans="1:3" ht="12">
      <c r="A169" s="37" t="s">
        <v>1138</v>
      </c>
      <c r="C169" s="55">
        <v>900000</v>
      </c>
    </row>
    <row r="170" spans="1:3" ht="12">
      <c r="A170" s="37" t="s">
        <v>1139</v>
      </c>
      <c r="C170" s="55">
        <v>270000</v>
      </c>
    </row>
    <row r="171" spans="1:4" ht="12">
      <c r="A171" s="37" t="s">
        <v>500</v>
      </c>
      <c r="C171" s="55">
        <f>SUM(C168:C170)</f>
        <v>2035000</v>
      </c>
      <c r="D171" s="55">
        <f>ROUND(C171/1000,0)</f>
        <v>2035</v>
      </c>
    </row>
    <row r="173" spans="1:4" s="61" customFormat="1" ht="12">
      <c r="A173" s="61" t="s">
        <v>306</v>
      </c>
      <c r="B173" s="226"/>
      <c r="C173" s="226">
        <f>C165+C171</f>
        <v>2535000</v>
      </c>
      <c r="D173" s="226">
        <f>D165+D171</f>
        <v>2535</v>
      </c>
    </row>
    <row r="174" spans="2:4" s="61" customFormat="1" ht="12">
      <c r="B174" s="226"/>
      <c r="C174" s="226"/>
      <c r="D174" s="226"/>
    </row>
    <row r="175" spans="1:4" ht="12">
      <c r="A175" s="37" t="s">
        <v>308</v>
      </c>
      <c r="C175" s="55">
        <v>8000000</v>
      </c>
      <c r="D175" s="55">
        <f>ROUND(C175/1000,0)</f>
        <v>8000</v>
      </c>
    </row>
    <row r="177" spans="1:4" s="61" customFormat="1" ht="12">
      <c r="A177" s="61" t="s">
        <v>1513</v>
      </c>
      <c r="B177" s="226"/>
      <c r="C177" s="226">
        <f>C19+C26+C36+C87+C108+C156+C173+C175+C37</f>
        <v>55230742</v>
      </c>
      <c r="D177" s="226">
        <f>D19+D26+D36+D87+D108+D156+D173</f>
        <v>46731</v>
      </c>
    </row>
    <row r="179" ht="12">
      <c r="A179" s="37" t="s">
        <v>340</v>
      </c>
    </row>
    <row r="180" spans="1:4" ht="12">
      <c r="A180" s="37" t="s">
        <v>1140</v>
      </c>
      <c r="C180" s="55">
        <v>2334000</v>
      </c>
      <c r="D180" s="55">
        <f>ROUND(C180/1000,0)</f>
        <v>2334</v>
      </c>
    </row>
    <row r="183" spans="1:4" ht="12">
      <c r="A183" s="37" t="s">
        <v>1083</v>
      </c>
      <c r="C183" s="55">
        <f>C30+C33+C35+C180</f>
        <v>3410669</v>
      </c>
      <c r="D183" s="55">
        <f>D30+D33+D35+D180</f>
        <v>3411</v>
      </c>
    </row>
    <row r="185" spans="1:4" s="145" customFormat="1" ht="12">
      <c r="A185" s="145" t="s">
        <v>501</v>
      </c>
      <c r="B185" s="241"/>
      <c r="C185" s="241">
        <f>C19+C26+C30+C33+C37+C87+C108+C156+C173+C180</f>
        <v>50641411</v>
      </c>
      <c r="D185" s="241">
        <f>D19+D26+D30+D33+D37+D87+D108+D156+D173+D180</f>
        <v>50642</v>
      </c>
    </row>
  </sheetData>
  <mergeCells count="1">
    <mergeCell ref="A4:D4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2008. ÉVI KÖLTSÉGVETÉSE&amp;R&amp;"Arial,Dőlt"&amp;8Hivatal</oddHeader>
    <oddFooter>&amp;C&amp;"Arial,Dőlt"&amp;8&amp;P. oldal</oddFooter>
  </headerFooter>
  <rowBreaks count="2" manualBreakCount="2">
    <brk id="59" max="255" man="1"/>
    <brk id="12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9">
      <selection activeCell="A59" sqref="A59"/>
    </sheetView>
  </sheetViews>
  <sheetFormatPr defaultColWidth="9.00390625" defaultRowHeight="12.75"/>
  <cols>
    <col min="1" max="1" width="44.75390625" style="1" bestFit="1" customWidth="1"/>
    <col min="2" max="2" width="9.125" style="11" customWidth="1"/>
    <col min="3" max="3" width="10.25390625" style="11" customWidth="1"/>
    <col min="4" max="4" width="10.00390625" style="11" customWidth="1"/>
    <col min="5" max="16384" width="9.125" style="1" customWidth="1"/>
  </cols>
  <sheetData>
    <row r="2" spans="2:4" ht="12.75">
      <c r="B2" s="11" t="s">
        <v>446</v>
      </c>
      <c r="C2" s="11" t="s">
        <v>447</v>
      </c>
      <c r="D2" s="11" t="s">
        <v>448</v>
      </c>
    </row>
    <row r="3" spans="2:3" ht="12.75">
      <c r="B3" s="471" t="s">
        <v>230</v>
      </c>
      <c r="C3" s="471"/>
    </row>
    <row r="5" ht="12.75">
      <c r="A5" s="1" t="s">
        <v>449</v>
      </c>
    </row>
    <row r="7" spans="1:4" ht="12.75">
      <c r="A7" s="1" t="s">
        <v>450</v>
      </c>
      <c r="B7" s="11">
        <v>4</v>
      </c>
      <c r="C7" s="11">
        <v>4</v>
      </c>
      <c r="D7" s="11">
        <v>15</v>
      </c>
    </row>
    <row r="8" spans="1:4" ht="12.75">
      <c r="A8" s="1" t="s">
        <v>451</v>
      </c>
      <c r="B8" s="11">
        <v>60</v>
      </c>
      <c r="C8" s="11">
        <v>60</v>
      </c>
      <c r="D8" s="11">
        <v>53</v>
      </c>
    </row>
    <row r="9" spans="1:4" ht="12.75">
      <c r="A9" s="1" t="s">
        <v>494</v>
      </c>
      <c r="B9" s="11">
        <v>36</v>
      </c>
      <c r="C9" s="11">
        <v>36</v>
      </c>
      <c r="D9" s="11">
        <v>9</v>
      </c>
    </row>
    <row r="10" spans="1:4" s="62" customFormat="1" ht="12.75">
      <c r="A10" s="62" t="s">
        <v>452</v>
      </c>
      <c r="B10" s="64">
        <f>SUM(B7:B9)</f>
        <v>100</v>
      </c>
      <c r="C10" s="64">
        <f>SUM(C7:C9)</f>
        <v>100</v>
      </c>
      <c r="D10" s="64">
        <f>SUM(D7:D9)</f>
        <v>77</v>
      </c>
    </row>
    <row r="12" spans="1:4" s="62" customFormat="1" ht="12.75">
      <c r="A12" s="62" t="s">
        <v>453</v>
      </c>
      <c r="B12" s="64"/>
      <c r="C12" s="64"/>
      <c r="D12" s="64">
        <v>77</v>
      </c>
    </row>
    <row r="14" spans="1:3" ht="12.75">
      <c r="A14" s="1" t="s">
        <v>454</v>
      </c>
      <c r="B14" s="11">
        <v>600</v>
      </c>
      <c r="C14" s="11">
        <v>300</v>
      </c>
    </row>
    <row r="15" spans="1:4" ht="12.75">
      <c r="A15" s="1" t="s">
        <v>455</v>
      </c>
      <c r="B15" s="11">
        <v>900</v>
      </c>
      <c r="C15" s="11">
        <v>430</v>
      </c>
      <c r="D15" s="11">
        <v>311</v>
      </c>
    </row>
    <row r="16" spans="1:3" ht="12.75">
      <c r="A16" s="1" t="s">
        <v>456</v>
      </c>
      <c r="B16" s="11">
        <v>80</v>
      </c>
      <c r="C16" s="11">
        <v>80</v>
      </c>
    </row>
    <row r="17" spans="1:3" ht="12.75">
      <c r="A17" s="1" t="s">
        <v>457</v>
      </c>
      <c r="B17" s="11">
        <v>150</v>
      </c>
      <c r="C17" s="11">
        <v>150</v>
      </c>
    </row>
    <row r="18" spans="1:3" ht="12.75">
      <c r="A18" s="1" t="s">
        <v>458</v>
      </c>
      <c r="B18" s="11">
        <v>20</v>
      </c>
      <c r="C18" s="11">
        <v>20</v>
      </c>
    </row>
    <row r="19" spans="1:4" s="62" customFormat="1" ht="12.75">
      <c r="A19" s="62" t="s">
        <v>459</v>
      </c>
      <c r="B19" s="64">
        <f>SUM(B14:B18)</f>
        <v>1750</v>
      </c>
      <c r="C19" s="64">
        <f>SUM(C14:C18)</f>
        <v>980</v>
      </c>
      <c r="D19" s="64">
        <f>SUM(D14:D18)</f>
        <v>311</v>
      </c>
    </row>
    <row r="21" spans="1:4" s="62" customFormat="1" ht="12.75">
      <c r="A21" s="62" t="s">
        <v>460</v>
      </c>
      <c r="B21" s="64">
        <v>1750</v>
      </c>
      <c r="C21" s="64">
        <v>980</v>
      </c>
      <c r="D21" s="64">
        <v>311</v>
      </c>
    </row>
    <row r="23" spans="1:4" s="12" customFormat="1" ht="12.75">
      <c r="A23" s="12" t="s">
        <v>461</v>
      </c>
      <c r="B23" s="74"/>
      <c r="C23" s="74"/>
      <c r="D23" s="74"/>
    </row>
    <row r="25" spans="1:4" ht="12.75">
      <c r="A25" s="1" t="s">
        <v>1082</v>
      </c>
      <c r="B25" s="11">
        <v>500</v>
      </c>
      <c r="C25" s="11">
        <v>500</v>
      </c>
      <c r="D25" s="11">
        <v>300</v>
      </c>
    </row>
    <row r="26" spans="1:4" s="62" customFormat="1" ht="12.75">
      <c r="A26" s="62" t="s">
        <v>462</v>
      </c>
      <c r="B26" s="64">
        <f>SUM(B25)</f>
        <v>500</v>
      </c>
      <c r="C26" s="64">
        <f>SUM(C25)</f>
        <v>500</v>
      </c>
      <c r="D26" s="64">
        <f>SUM(D25)</f>
        <v>300</v>
      </c>
    </row>
    <row r="28" spans="1:4" s="62" customFormat="1" ht="12.75">
      <c r="A28" s="62" t="s">
        <v>463</v>
      </c>
      <c r="B28" s="64"/>
      <c r="C28" s="64"/>
      <c r="D28" s="64">
        <v>300</v>
      </c>
    </row>
    <row r="29" spans="2:4" s="62" customFormat="1" ht="12.75">
      <c r="B29" s="64"/>
      <c r="C29" s="64"/>
      <c r="D29" s="64"/>
    </row>
    <row r="30" spans="1:3" ht="12.75">
      <c r="A30" s="1" t="s">
        <v>1122</v>
      </c>
      <c r="C30" s="11">
        <v>770</v>
      </c>
    </row>
    <row r="31" spans="1:4" s="62" customFormat="1" ht="12.75">
      <c r="A31" s="62" t="s">
        <v>459</v>
      </c>
      <c r="B31" s="64"/>
      <c r="C31" s="64">
        <f>SUM(C30)</f>
        <v>770</v>
      </c>
      <c r="D31" s="64">
        <f>SUM(D30)</f>
        <v>0</v>
      </c>
    </row>
    <row r="32" spans="2:4" s="62" customFormat="1" ht="12.75">
      <c r="B32" s="64"/>
      <c r="C32" s="64"/>
      <c r="D32" s="64"/>
    </row>
    <row r="33" spans="1:4" s="62" customFormat="1" ht="12.75">
      <c r="A33" s="62" t="s">
        <v>1123</v>
      </c>
      <c r="B33" s="64"/>
      <c r="C33" s="64"/>
      <c r="D33" s="64">
        <v>0</v>
      </c>
    </row>
    <row r="35" ht="12.75">
      <c r="A35" s="12" t="s">
        <v>464</v>
      </c>
    </row>
    <row r="36" ht="12.75">
      <c r="A36" s="12"/>
    </row>
    <row r="37" spans="1:4" ht="12.75">
      <c r="A37" s="1" t="s">
        <v>1124</v>
      </c>
      <c r="B37" s="11">
        <v>10</v>
      </c>
      <c r="C37" s="11">
        <v>10</v>
      </c>
      <c r="D37" s="11">
        <v>4</v>
      </c>
    </row>
    <row r="38" spans="1:4" ht="12.75">
      <c r="A38" s="1" t="s">
        <v>1125</v>
      </c>
      <c r="D38" s="11">
        <v>32</v>
      </c>
    </row>
    <row r="39" spans="1:4" s="62" customFormat="1" ht="12.75">
      <c r="A39" s="62" t="s">
        <v>465</v>
      </c>
      <c r="B39" s="64">
        <f>SUM(B37:B38)</f>
        <v>10</v>
      </c>
      <c r="C39" s="64">
        <f>SUM(C37:C38)</f>
        <v>10</v>
      </c>
      <c r="D39" s="64">
        <f>SUM(D37:D38)</f>
        <v>36</v>
      </c>
    </row>
    <row r="41" spans="1:4" s="62" customFormat="1" ht="12.75">
      <c r="A41" s="62" t="s">
        <v>466</v>
      </c>
      <c r="B41" s="64"/>
      <c r="C41" s="64"/>
      <c r="D41" s="64">
        <v>36</v>
      </c>
    </row>
    <row r="43" spans="1:4" ht="12.75">
      <c r="A43" s="1" t="s">
        <v>495</v>
      </c>
      <c r="B43" s="11">
        <v>5650</v>
      </c>
      <c r="C43" s="11">
        <v>5650</v>
      </c>
      <c r="D43" s="11">
        <v>3650</v>
      </c>
    </row>
    <row r="44" spans="1:4" ht="12.75">
      <c r="A44" s="1" t="s">
        <v>496</v>
      </c>
      <c r="B44" s="11">
        <v>2023</v>
      </c>
      <c r="C44" s="11">
        <v>2023</v>
      </c>
      <c r="D44" s="11">
        <v>1157</v>
      </c>
    </row>
    <row r="45" spans="1:4" ht="12.75">
      <c r="A45" s="1" t="s">
        <v>467</v>
      </c>
      <c r="B45" s="11">
        <v>231</v>
      </c>
      <c r="C45" s="11">
        <v>231</v>
      </c>
      <c r="D45" s="11">
        <v>231</v>
      </c>
    </row>
    <row r="46" spans="1:4" ht="12.75">
      <c r="A46" s="1" t="s">
        <v>1126</v>
      </c>
      <c r="D46" s="11">
        <v>177</v>
      </c>
    </row>
    <row r="47" spans="1:4" ht="12.75">
      <c r="A47" s="1" t="s">
        <v>491</v>
      </c>
      <c r="B47" s="11">
        <v>2000</v>
      </c>
      <c r="C47" s="11">
        <v>2000</v>
      </c>
      <c r="D47" s="11">
        <v>1428</v>
      </c>
    </row>
    <row r="49" spans="1:4" s="62" customFormat="1" ht="12.75">
      <c r="A49" s="62" t="s">
        <v>492</v>
      </c>
      <c r="B49" s="64">
        <f>SUM(B43:B48)</f>
        <v>9904</v>
      </c>
      <c r="C49" s="64">
        <f>SUM(C43:C48)</f>
        <v>9904</v>
      </c>
      <c r="D49" s="64">
        <f>SUM(D43:D48)</f>
        <v>6643</v>
      </c>
    </row>
    <row r="51" spans="1:4" s="62" customFormat="1" ht="12.75">
      <c r="A51" s="62" t="s">
        <v>493</v>
      </c>
      <c r="B51" s="64"/>
      <c r="C51" s="64"/>
      <c r="D51" s="64">
        <v>6643</v>
      </c>
    </row>
    <row r="53" spans="1:4" ht="12.75">
      <c r="A53" s="1" t="s">
        <v>1127</v>
      </c>
      <c r="B53" s="11">
        <v>0</v>
      </c>
      <c r="D53" s="11">
        <v>426</v>
      </c>
    </row>
    <row r="54" spans="1:4" s="62" customFormat="1" ht="12.75">
      <c r="A54" s="62" t="s">
        <v>492</v>
      </c>
      <c r="B54" s="64">
        <f>SUM(B53)</f>
        <v>0</v>
      </c>
      <c r="C54" s="64">
        <f>SUM(C53)</f>
        <v>0</v>
      </c>
      <c r="D54" s="64">
        <f>SUM(D53)</f>
        <v>426</v>
      </c>
    </row>
    <row r="55" spans="2:4" s="62" customFormat="1" ht="12.75">
      <c r="B55" s="64"/>
      <c r="C55" s="64"/>
      <c r="D55" s="64"/>
    </row>
    <row r="56" spans="1:4" s="62" customFormat="1" ht="12.75">
      <c r="A56" s="62" t="s">
        <v>1128</v>
      </c>
      <c r="B56" s="64"/>
      <c r="C56" s="64"/>
      <c r="D56" s="64">
        <v>426</v>
      </c>
    </row>
    <row r="58" ht="12.75">
      <c r="A58" s="1" t="s">
        <v>1217</v>
      </c>
    </row>
  </sheetData>
  <mergeCells count="1">
    <mergeCell ref="B3:C3"/>
  </mergeCells>
  <printOptions/>
  <pageMargins left="0.75" right="0.75" top="1" bottom="0.5" header="0.25" footer="0.24"/>
  <pageSetup horizontalDpi="600" verticalDpi="600" orientation="portrait" paperSize="9" r:id="rId1"/>
  <headerFooter alignWithMargins="0">
    <oddHeader xml:space="preserve">&amp;C&amp;"Arial,Félkövér dőlt"&amp;11
KIMUTATÁS TISZAGYULAHÁZA KÖZSÉG 2005.ÉVI ÁTADOTT - ÁTVETT PÉNZESZKÖZEIRŐL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D93"/>
  <sheetViews>
    <sheetView workbookViewId="0" topLeftCell="A1">
      <pane xSplit="1" ySplit="1" topLeftCell="Z4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83" sqref="AF83"/>
    </sheetView>
  </sheetViews>
  <sheetFormatPr defaultColWidth="9.00390625" defaultRowHeight="12.75"/>
  <cols>
    <col min="1" max="1" width="42.125" style="37" bestFit="1" customWidth="1"/>
    <col min="2" max="2" width="10.00390625" style="55" bestFit="1" customWidth="1"/>
    <col min="3" max="3" width="10.00390625" style="55" customWidth="1"/>
    <col min="4" max="4" width="10.00390625" style="55" bestFit="1" customWidth="1"/>
    <col min="5" max="5" width="10.00390625" style="55" customWidth="1"/>
    <col min="6" max="26" width="9.125" style="55" customWidth="1"/>
    <col min="27" max="27" width="11.00390625" style="55" bestFit="1" customWidth="1"/>
    <col min="28" max="28" width="9.125" style="55" customWidth="1"/>
    <col min="29" max="29" width="11.125" style="55" bestFit="1" customWidth="1"/>
    <col min="30" max="30" width="10.375" style="55" bestFit="1" customWidth="1"/>
    <col min="31" max="16384" width="9.125" style="37" customWidth="1"/>
  </cols>
  <sheetData>
    <row r="1" spans="1:30" ht="56.25" customHeight="1">
      <c r="A1" s="115" t="s">
        <v>1426</v>
      </c>
      <c r="B1" s="288" t="s">
        <v>1572</v>
      </c>
      <c r="C1" s="288" t="s">
        <v>546</v>
      </c>
      <c r="D1" s="269" t="s">
        <v>1099</v>
      </c>
      <c r="E1" s="119" t="s">
        <v>663</v>
      </c>
      <c r="F1" s="117"/>
      <c r="G1" s="288" t="s">
        <v>665</v>
      </c>
      <c r="H1" s="287" t="s">
        <v>1001</v>
      </c>
      <c r="I1" s="288" t="s">
        <v>666</v>
      </c>
      <c r="J1" s="288" t="s">
        <v>667</v>
      </c>
      <c r="K1" s="288" t="s">
        <v>668</v>
      </c>
      <c r="L1" s="288" t="s">
        <v>669</v>
      </c>
      <c r="M1" s="288" t="s">
        <v>670</v>
      </c>
      <c r="N1" s="129" t="s">
        <v>1002</v>
      </c>
      <c r="O1" s="288" t="s">
        <v>671</v>
      </c>
      <c r="P1" s="289" t="s">
        <v>672</v>
      </c>
      <c r="Q1" s="289" t="s">
        <v>673</v>
      </c>
      <c r="R1" s="172"/>
      <c r="S1" s="288" t="s">
        <v>674</v>
      </c>
      <c r="T1" s="288" t="s">
        <v>1004</v>
      </c>
      <c r="U1" s="119" t="s">
        <v>1003</v>
      </c>
      <c r="V1" s="288" t="s">
        <v>675</v>
      </c>
      <c r="W1" s="288" t="s">
        <v>676</v>
      </c>
      <c r="X1" s="288" t="s">
        <v>677</v>
      </c>
      <c r="Y1" s="119" t="s">
        <v>1005</v>
      </c>
      <c r="Z1" s="288" t="s">
        <v>678</v>
      </c>
      <c r="AA1" s="288" t="s">
        <v>679</v>
      </c>
      <c r="AB1" s="288" t="s">
        <v>680</v>
      </c>
      <c r="AC1" s="119" t="s">
        <v>1006</v>
      </c>
      <c r="AD1" s="130" t="s">
        <v>681</v>
      </c>
    </row>
    <row r="2" spans="1:30" ht="12">
      <c r="A2" s="115" t="s">
        <v>682</v>
      </c>
      <c r="B2" s="117">
        <v>0</v>
      </c>
      <c r="C2" s="117"/>
      <c r="D2" s="117"/>
      <c r="E2" s="120">
        <f>SUM(B2:D2)</f>
        <v>0</v>
      </c>
      <c r="F2" s="117">
        <v>0</v>
      </c>
      <c r="G2" s="117"/>
      <c r="H2" s="120">
        <f>SUM(F2:G2)</f>
        <v>0</v>
      </c>
      <c r="I2" s="117">
        <v>0</v>
      </c>
      <c r="J2" s="117"/>
      <c r="K2" s="117"/>
      <c r="L2" s="117"/>
      <c r="M2" s="117"/>
      <c r="N2" s="120">
        <f>SUM(I2:M2)</f>
        <v>0</v>
      </c>
      <c r="O2" s="117">
        <v>0</v>
      </c>
      <c r="P2" s="117"/>
      <c r="Q2" s="117"/>
      <c r="R2" s="117"/>
      <c r="S2" s="117"/>
      <c r="T2" s="117"/>
      <c r="U2" s="120">
        <f>SUM(O2:T2)</f>
        <v>0</v>
      </c>
      <c r="V2" s="117">
        <f>bev!$D$163</f>
        <v>597</v>
      </c>
      <c r="W2" s="117">
        <f>bev!$D$198</f>
        <v>1829</v>
      </c>
      <c r="X2" s="117"/>
      <c r="Y2" s="120">
        <f>SUM(V2:X2)</f>
        <v>2426</v>
      </c>
      <c r="Z2" s="117">
        <v>0</v>
      </c>
      <c r="AA2" s="117"/>
      <c r="AB2" s="117"/>
      <c r="AC2" s="120">
        <f>SUM(Z2:AB2)</f>
        <v>0</v>
      </c>
      <c r="AD2" s="131">
        <f>E2+H2+N2+U2+Y2+AC2</f>
        <v>2426</v>
      </c>
    </row>
    <row r="3" spans="1:30" ht="12">
      <c r="A3" s="115" t="s">
        <v>683</v>
      </c>
      <c r="B3" s="117"/>
      <c r="C3" s="117"/>
      <c r="D3" s="117"/>
      <c r="E3" s="120">
        <f>SUM(B3:D3)</f>
        <v>0</v>
      </c>
      <c r="F3" s="117"/>
      <c r="G3" s="117"/>
      <c r="H3" s="120">
        <f>SUM(F3:G3)</f>
        <v>0</v>
      </c>
      <c r="I3" s="117"/>
      <c r="J3" s="117"/>
      <c r="K3" s="117"/>
      <c r="L3" s="117"/>
      <c r="M3" s="117"/>
      <c r="N3" s="120">
        <f>SUM(I3:M3)</f>
        <v>0</v>
      </c>
      <c r="O3" s="117"/>
      <c r="P3" s="117"/>
      <c r="Q3" s="117"/>
      <c r="R3" s="117"/>
      <c r="S3" s="117"/>
      <c r="T3" s="117"/>
      <c r="U3" s="120">
        <f>SUM(O3:T3)</f>
        <v>0</v>
      </c>
      <c r="V3" s="117"/>
      <c r="W3" s="117"/>
      <c r="X3" s="117">
        <f>bev!$D$238</f>
        <v>554</v>
      </c>
      <c r="Y3" s="120">
        <f>SUM(V3:X3)</f>
        <v>554</v>
      </c>
      <c r="Z3" s="117"/>
      <c r="AA3" s="117"/>
      <c r="AB3" s="117"/>
      <c r="AC3" s="120">
        <f>SUM(Z3:AB3)</f>
        <v>0</v>
      </c>
      <c r="AD3" s="131">
        <f>E3+H3+N3+U3+Y3+AC3</f>
        <v>554</v>
      </c>
    </row>
    <row r="4" spans="1:30" ht="12">
      <c r="A4" s="115" t="s">
        <v>684</v>
      </c>
      <c r="B4" s="117"/>
      <c r="C4" s="117"/>
      <c r="D4" s="117"/>
      <c r="E4" s="120">
        <f>SUM(B4:D4)</f>
        <v>0</v>
      </c>
      <c r="F4" s="117"/>
      <c r="G4" s="117"/>
      <c r="H4" s="120">
        <f>SUM(F4:G4)</f>
        <v>0</v>
      </c>
      <c r="I4" s="117"/>
      <c r="J4" s="117"/>
      <c r="K4" s="117"/>
      <c r="L4" s="117"/>
      <c r="M4" s="117"/>
      <c r="N4" s="120">
        <f>SUM(I4:M4)</f>
        <v>0</v>
      </c>
      <c r="O4" s="117"/>
      <c r="P4" s="117"/>
      <c r="Q4" s="117"/>
      <c r="R4" s="117"/>
      <c r="S4" s="117"/>
      <c r="T4" s="117"/>
      <c r="U4" s="120">
        <f>SUM(O4:T4)</f>
        <v>0</v>
      </c>
      <c r="V4" s="117"/>
      <c r="W4" s="117"/>
      <c r="X4" s="117"/>
      <c r="Y4" s="120">
        <f>SUM(V4:X4)</f>
        <v>0</v>
      </c>
      <c r="Z4" s="117"/>
      <c r="AA4" s="117"/>
      <c r="AB4" s="117"/>
      <c r="AC4" s="120">
        <f>SUM(Z4:AB4)</f>
        <v>0</v>
      </c>
      <c r="AD4" s="131">
        <f>E4+H4+N4+U4+Y4+AC4</f>
        <v>0</v>
      </c>
    </row>
    <row r="5" spans="1:30" ht="12">
      <c r="A5" s="115" t="s">
        <v>685</v>
      </c>
      <c r="B5" s="117"/>
      <c r="C5" s="117"/>
      <c r="D5" s="117"/>
      <c r="E5" s="120">
        <f>SUM(B5:D5)</f>
        <v>0</v>
      </c>
      <c r="F5" s="117"/>
      <c r="G5" s="117"/>
      <c r="H5" s="120">
        <f>SUM(F5:G5)</f>
        <v>0</v>
      </c>
      <c r="I5" s="117"/>
      <c r="J5" s="117"/>
      <c r="K5" s="117"/>
      <c r="L5" s="117"/>
      <c r="M5" s="117"/>
      <c r="N5" s="120">
        <f>SUM(I5:M5)</f>
        <v>0</v>
      </c>
      <c r="O5" s="117"/>
      <c r="P5" s="117"/>
      <c r="Q5" s="117"/>
      <c r="R5" s="117"/>
      <c r="S5" s="117"/>
      <c r="T5" s="117"/>
      <c r="U5" s="120">
        <f>SUM(O5:T5)</f>
        <v>0</v>
      </c>
      <c r="V5" s="117"/>
      <c r="W5" s="117"/>
      <c r="X5" s="117">
        <f>bev!$D$254</f>
        <v>0</v>
      </c>
      <c r="Y5" s="120">
        <f>SUM(V5:X5)</f>
        <v>0</v>
      </c>
      <c r="Z5" s="117"/>
      <c r="AA5" s="117"/>
      <c r="AB5" s="117">
        <f>bev!$D$367</f>
        <v>0</v>
      </c>
      <c r="AC5" s="120">
        <f>SUM(Z5:AB5)</f>
        <v>0</v>
      </c>
      <c r="AD5" s="131">
        <f>E5+H5+N5+U5+Y5+AC5</f>
        <v>0</v>
      </c>
    </row>
    <row r="6" spans="1:30" ht="12">
      <c r="A6" s="121" t="s">
        <v>686</v>
      </c>
      <c r="B6" s="122">
        <f aca="true" t="shared" si="0" ref="B6:AD6">SUM(B2:B5)</f>
        <v>0</v>
      </c>
      <c r="C6" s="122"/>
      <c r="D6" s="122">
        <f t="shared" si="0"/>
        <v>0</v>
      </c>
      <c r="E6" s="122">
        <f t="shared" si="0"/>
        <v>0</v>
      </c>
      <c r="F6" s="122">
        <f t="shared" si="0"/>
        <v>0</v>
      </c>
      <c r="G6" s="122">
        <f t="shared" si="0"/>
        <v>0</v>
      </c>
      <c r="H6" s="122">
        <f t="shared" si="0"/>
        <v>0</v>
      </c>
      <c r="I6" s="122">
        <f t="shared" si="0"/>
        <v>0</v>
      </c>
      <c r="J6" s="122">
        <f t="shared" si="0"/>
        <v>0</v>
      </c>
      <c r="K6" s="122">
        <f t="shared" si="0"/>
        <v>0</v>
      </c>
      <c r="L6" s="122">
        <f t="shared" si="0"/>
        <v>0</v>
      </c>
      <c r="M6" s="122">
        <f t="shared" si="0"/>
        <v>0</v>
      </c>
      <c r="N6" s="122">
        <f t="shared" si="0"/>
        <v>0</v>
      </c>
      <c r="O6" s="122">
        <f t="shared" si="0"/>
        <v>0</v>
      </c>
      <c r="P6" s="122">
        <f t="shared" si="0"/>
        <v>0</v>
      </c>
      <c r="Q6" s="122">
        <f t="shared" si="0"/>
        <v>0</v>
      </c>
      <c r="R6" s="122">
        <f t="shared" si="0"/>
        <v>0</v>
      </c>
      <c r="S6" s="122">
        <f t="shared" si="0"/>
        <v>0</v>
      </c>
      <c r="T6" s="122">
        <f t="shared" si="0"/>
        <v>0</v>
      </c>
      <c r="U6" s="122">
        <f t="shared" si="0"/>
        <v>0</v>
      </c>
      <c r="V6" s="122">
        <f t="shared" si="0"/>
        <v>597</v>
      </c>
      <c r="W6" s="122">
        <f t="shared" si="0"/>
        <v>1829</v>
      </c>
      <c r="X6" s="122">
        <f t="shared" si="0"/>
        <v>554</v>
      </c>
      <c r="Y6" s="122">
        <f t="shared" si="0"/>
        <v>2980</v>
      </c>
      <c r="Z6" s="122">
        <f t="shared" si="0"/>
        <v>0</v>
      </c>
      <c r="AA6" s="122">
        <f t="shared" si="0"/>
        <v>0</v>
      </c>
      <c r="AB6" s="122">
        <f t="shared" si="0"/>
        <v>0</v>
      </c>
      <c r="AC6" s="122">
        <f t="shared" si="0"/>
        <v>0</v>
      </c>
      <c r="AD6" s="122">
        <f t="shared" si="0"/>
        <v>2980</v>
      </c>
    </row>
    <row r="7" spans="1:30" ht="12">
      <c r="A7" s="115" t="s">
        <v>687</v>
      </c>
      <c r="B7" s="117">
        <v>0</v>
      </c>
      <c r="C7" s="117"/>
      <c r="D7" s="117"/>
      <c r="E7" s="120">
        <f>SUM(B7:D7)</f>
        <v>0</v>
      </c>
      <c r="F7" s="117"/>
      <c r="G7" s="117"/>
      <c r="H7" s="120">
        <f>SUM(F7:G7)</f>
        <v>0</v>
      </c>
      <c r="I7" s="117"/>
      <c r="J7" s="117"/>
      <c r="K7" s="117"/>
      <c r="L7" s="117"/>
      <c r="M7" s="117"/>
      <c r="N7" s="120">
        <f>SUM(I7:M7)</f>
        <v>0</v>
      </c>
      <c r="O7" s="117"/>
      <c r="P7" s="117"/>
      <c r="Q7" s="117"/>
      <c r="R7" s="117"/>
      <c r="S7" s="117"/>
      <c r="T7" s="117"/>
      <c r="U7" s="120">
        <f>SUM(O7:T7)</f>
        <v>0</v>
      </c>
      <c r="V7" s="117"/>
      <c r="W7" s="117"/>
      <c r="X7" s="117"/>
      <c r="Y7" s="120">
        <f>SUM(V7:X7)</f>
        <v>0</v>
      </c>
      <c r="Z7" s="117"/>
      <c r="AA7" s="117"/>
      <c r="AB7" s="117"/>
      <c r="AC7" s="120">
        <f>SUM(Z7:AB7)</f>
        <v>0</v>
      </c>
      <c r="AD7" s="131">
        <f>E7+H7+N7+U7+Y7+AC7</f>
        <v>0</v>
      </c>
    </row>
    <row r="8" spans="1:30" ht="12">
      <c r="A8" s="115" t="s">
        <v>688</v>
      </c>
      <c r="B8" s="117"/>
      <c r="C8" s="117"/>
      <c r="D8" s="117"/>
      <c r="E8" s="120">
        <f>SUM(B8:D8)</f>
        <v>0</v>
      </c>
      <c r="F8" s="117"/>
      <c r="G8" s="117"/>
      <c r="H8" s="120">
        <f>SUM(F8:G8)</f>
        <v>0</v>
      </c>
      <c r="I8" s="117"/>
      <c r="J8" s="117"/>
      <c r="K8" s="117"/>
      <c r="L8" s="117"/>
      <c r="M8" s="117"/>
      <c r="N8" s="120">
        <f>SUM(I8:M8)</f>
        <v>0</v>
      </c>
      <c r="O8" s="117"/>
      <c r="P8" s="117"/>
      <c r="Q8" s="117"/>
      <c r="R8" s="117"/>
      <c r="S8" s="117"/>
      <c r="T8" s="117"/>
      <c r="U8" s="120">
        <f>SUM(O8:T8)</f>
        <v>0</v>
      </c>
      <c r="V8" s="117"/>
      <c r="W8" s="117"/>
      <c r="X8" s="117"/>
      <c r="Y8" s="120">
        <f>SUM(V8:X8)</f>
        <v>0</v>
      </c>
      <c r="Z8" s="117"/>
      <c r="AA8" s="117"/>
      <c r="AB8" s="117"/>
      <c r="AC8" s="120">
        <f>SUM(Z8:AB8)</f>
        <v>0</v>
      </c>
      <c r="AD8" s="131">
        <f>E8+H8+N8+U8+Y8+AC8</f>
        <v>0</v>
      </c>
    </row>
    <row r="9" spans="1:30" ht="12">
      <c r="A9" s="115" t="s">
        <v>689</v>
      </c>
      <c r="B9" s="117"/>
      <c r="C9" s="117"/>
      <c r="D9" s="117"/>
      <c r="E9" s="120">
        <f>SUM(B9:D9)</f>
        <v>0</v>
      </c>
      <c r="F9" s="117"/>
      <c r="G9" s="117"/>
      <c r="H9" s="120">
        <f>SUM(F9:G9)</f>
        <v>0</v>
      </c>
      <c r="I9" s="117"/>
      <c r="J9" s="117"/>
      <c r="K9" s="117"/>
      <c r="L9" s="117"/>
      <c r="M9" s="117"/>
      <c r="N9" s="120">
        <f>SUM(I9:M9)</f>
        <v>0</v>
      </c>
      <c r="O9" s="117"/>
      <c r="P9" s="117"/>
      <c r="Q9" s="117"/>
      <c r="R9" s="117"/>
      <c r="S9" s="117"/>
      <c r="T9" s="117"/>
      <c r="U9" s="120">
        <f>SUM(O9:T9)</f>
        <v>0</v>
      </c>
      <c r="V9" s="117"/>
      <c r="W9" s="117"/>
      <c r="X9" s="117"/>
      <c r="Y9" s="120">
        <f>SUM(V9:X9)</f>
        <v>0</v>
      </c>
      <c r="Z9" s="117"/>
      <c r="AA9" s="117"/>
      <c r="AB9" s="117"/>
      <c r="AC9" s="120">
        <f>SUM(Z9:AB9)</f>
        <v>0</v>
      </c>
      <c r="AD9" s="131">
        <f>E9+H9+N9+U9+Y9+AC9</f>
        <v>0</v>
      </c>
    </row>
    <row r="10" spans="1:30" ht="12">
      <c r="A10" s="121" t="s">
        <v>690</v>
      </c>
      <c r="B10" s="122">
        <f aca="true" t="shared" si="1" ref="B10:AD10">SUM(B7:B9)</f>
        <v>0</v>
      </c>
      <c r="C10" s="122"/>
      <c r="D10" s="122">
        <f t="shared" si="1"/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 t="shared" si="1"/>
        <v>0</v>
      </c>
      <c r="I10" s="122">
        <f t="shared" si="1"/>
        <v>0</v>
      </c>
      <c r="J10" s="122">
        <f t="shared" si="1"/>
        <v>0</v>
      </c>
      <c r="K10" s="122">
        <f t="shared" si="1"/>
        <v>0</v>
      </c>
      <c r="L10" s="122">
        <f t="shared" si="1"/>
        <v>0</v>
      </c>
      <c r="M10" s="122">
        <f t="shared" si="1"/>
        <v>0</v>
      </c>
      <c r="N10" s="122">
        <f t="shared" si="1"/>
        <v>0</v>
      </c>
      <c r="O10" s="122">
        <f t="shared" si="1"/>
        <v>0</v>
      </c>
      <c r="P10" s="122">
        <f t="shared" si="1"/>
        <v>0</v>
      </c>
      <c r="Q10" s="122">
        <f t="shared" si="1"/>
        <v>0</v>
      </c>
      <c r="R10" s="122">
        <f t="shared" si="1"/>
        <v>0</v>
      </c>
      <c r="S10" s="122">
        <f t="shared" si="1"/>
        <v>0</v>
      </c>
      <c r="T10" s="122">
        <f t="shared" si="1"/>
        <v>0</v>
      </c>
      <c r="U10" s="122">
        <f t="shared" si="1"/>
        <v>0</v>
      </c>
      <c r="V10" s="122">
        <f t="shared" si="1"/>
        <v>0</v>
      </c>
      <c r="W10" s="122">
        <f t="shared" si="1"/>
        <v>0</v>
      </c>
      <c r="X10" s="122">
        <f t="shared" si="1"/>
        <v>0</v>
      </c>
      <c r="Y10" s="122">
        <f t="shared" si="1"/>
        <v>0</v>
      </c>
      <c r="Z10" s="122">
        <f t="shared" si="1"/>
        <v>0</v>
      </c>
      <c r="AA10" s="122">
        <f t="shared" si="1"/>
        <v>0</v>
      </c>
      <c r="AB10" s="122">
        <f t="shared" si="1"/>
        <v>0</v>
      </c>
      <c r="AC10" s="122">
        <f t="shared" si="1"/>
        <v>0</v>
      </c>
      <c r="AD10" s="122">
        <f t="shared" si="1"/>
        <v>0</v>
      </c>
    </row>
    <row r="11" spans="1:30" ht="12">
      <c r="A11" s="115" t="s">
        <v>691</v>
      </c>
      <c r="B11" s="117">
        <v>0</v>
      </c>
      <c r="C11" s="117"/>
      <c r="D11" s="117"/>
      <c r="E11" s="120">
        <f aca="true" t="shared" si="2" ref="E11:E17">SUM(B11:D11)</f>
        <v>0</v>
      </c>
      <c r="F11" s="117"/>
      <c r="G11" s="117"/>
      <c r="H11" s="120">
        <f aca="true" t="shared" si="3" ref="H11:H17">SUM(F11:G11)</f>
        <v>0</v>
      </c>
      <c r="I11" s="117"/>
      <c r="J11" s="117">
        <f>bev!$D$56</f>
        <v>75</v>
      </c>
      <c r="K11" s="117">
        <f>bev!$D$71</f>
        <v>5</v>
      </c>
      <c r="L11" s="117"/>
      <c r="M11" s="117"/>
      <c r="N11" s="120">
        <f aca="true" t="shared" si="4" ref="N11:N17">SUM(I11:M11)</f>
        <v>80</v>
      </c>
      <c r="O11" s="117"/>
      <c r="P11" s="117"/>
      <c r="Q11" s="117"/>
      <c r="R11" s="117"/>
      <c r="S11" s="117"/>
      <c r="T11" s="117"/>
      <c r="U11" s="120">
        <f aca="true" t="shared" si="5" ref="U11:U17">SUM(O11:T11)</f>
        <v>0</v>
      </c>
      <c r="V11" s="117"/>
      <c r="W11" s="117"/>
      <c r="X11" s="117"/>
      <c r="Y11" s="120">
        <f aca="true" t="shared" si="6" ref="Y11:Y17">SUM(V11:X11)</f>
        <v>0</v>
      </c>
      <c r="Z11" s="117"/>
      <c r="AA11" s="117"/>
      <c r="AB11" s="117"/>
      <c r="AC11" s="120">
        <f aca="true" t="shared" si="7" ref="AC11:AC17">SUM(Z11:AB11)</f>
        <v>0</v>
      </c>
      <c r="AD11" s="131">
        <f>E11+H11+N11+U11+Y11+AC11</f>
        <v>80</v>
      </c>
    </row>
    <row r="12" spans="1:30" ht="12">
      <c r="A12" s="115" t="s">
        <v>692</v>
      </c>
      <c r="B12" s="117"/>
      <c r="C12" s="117"/>
      <c r="D12" s="117"/>
      <c r="E12" s="120">
        <f t="shared" si="2"/>
        <v>0</v>
      </c>
      <c r="F12" s="117"/>
      <c r="G12" s="117"/>
      <c r="H12" s="120">
        <f t="shared" si="3"/>
        <v>0</v>
      </c>
      <c r="I12" s="117"/>
      <c r="J12" s="117"/>
      <c r="K12" s="117"/>
      <c r="L12" s="117"/>
      <c r="M12" s="117"/>
      <c r="N12" s="120">
        <f t="shared" si="4"/>
        <v>0</v>
      </c>
      <c r="O12" s="117"/>
      <c r="P12" s="117"/>
      <c r="Q12" s="117"/>
      <c r="R12" s="117"/>
      <c r="S12" s="117"/>
      <c r="T12" s="117"/>
      <c r="U12" s="120">
        <f t="shared" si="5"/>
        <v>0</v>
      </c>
      <c r="V12" s="117"/>
      <c r="W12" s="117"/>
      <c r="X12" s="117"/>
      <c r="Y12" s="120">
        <f t="shared" si="6"/>
        <v>0</v>
      </c>
      <c r="Z12" s="117"/>
      <c r="AA12" s="117"/>
      <c r="AB12" s="117"/>
      <c r="AC12" s="120">
        <f t="shared" si="7"/>
        <v>0</v>
      </c>
      <c r="AD12" s="131">
        <f aca="true" t="shared" si="8" ref="AD12:AD29">E12+H12+N12+U12+Y12+AC12</f>
        <v>0</v>
      </c>
    </row>
    <row r="13" spans="1:30" ht="12">
      <c r="A13" s="115" t="s">
        <v>693</v>
      </c>
      <c r="B13" s="117"/>
      <c r="C13" s="117"/>
      <c r="D13" s="117"/>
      <c r="E13" s="120">
        <f t="shared" si="2"/>
        <v>0</v>
      </c>
      <c r="F13" s="117"/>
      <c r="G13" s="117"/>
      <c r="H13" s="120">
        <f t="shared" si="3"/>
        <v>0</v>
      </c>
      <c r="I13" s="117"/>
      <c r="J13" s="117"/>
      <c r="K13" s="117"/>
      <c r="L13" s="117"/>
      <c r="M13" s="117"/>
      <c r="N13" s="120">
        <f t="shared" si="4"/>
        <v>0</v>
      </c>
      <c r="O13" s="117"/>
      <c r="P13" s="117"/>
      <c r="Q13" s="117"/>
      <c r="R13" s="117"/>
      <c r="S13" s="117"/>
      <c r="T13" s="117"/>
      <c r="U13" s="120">
        <f t="shared" si="5"/>
        <v>0</v>
      </c>
      <c r="V13" s="117"/>
      <c r="W13" s="117"/>
      <c r="X13" s="117"/>
      <c r="Y13" s="120">
        <f t="shared" si="6"/>
        <v>0</v>
      </c>
      <c r="Z13" s="117"/>
      <c r="AA13" s="117"/>
      <c r="AB13" s="117"/>
      <c r="AC13" s="120">
        <f t="shared" si="7"/>
        <v>0</v>
      </c>
      <c r="AD13" s="131">
        <f t="shared" si="8"/>
        <v>0</v>
      </c>
    </row>
    <row r="14" spans="1:30" ht="12">
      <c r="A14" s="115" t="s">
        <v>694</v>
      </c>
      <c r="B14" s="117"/>
      <c r="C14" s="117"/>
      <c r="D14" s="117"/>
      <c r="E14" s="120">
        <f t="shared" si="2"/>
        <v>0</v>
      </c>
      <c r="F14" s="117"/>
      <c r="G14" s="117"/>
      <c r="H14" s="120">
        <f t="shared" si="3"/>
        <v>0</v>
      </c>
      <c r="I14" s="117"/>
      <c r="J14" s="117"/>
      <c r="K14" s="117"/>
      <c r="L14" s="117"/>
      <c r="M14" s="117"/>
      <c r="N14" s="120">
        <f t="shared" si="4"/>
        <v>0</v>
      </c>
      <c r="O14" s="117"/>
      <c r="P14" s="117"/>
      <c r="Q14" s="117"/>
      <c r="R14" s="117"/>
      <c r="S14" s="117"/>
      <c r="T14" s="117"/>
      <c r="U14" s="120">
        <f t="shared" si="5"/>
        <v>0</v>
      </c>
      <c r="V14" s="117"/>
      <c r="W14" s="117"/>
      <c r="X14" s="117"/>
      <c r="Y14" s="120">
        <f t="shared" si="6"/>
        <v>0</v>
      </c>
      <c r="Z14" s="117"/>
      <c r="AA14" s="117"/>
      <c r="AB14" s="117"/>
      <c r="AC14" s="120">
        <f t="shared" si="7"/>
        <v>0</v>
      </c>
      <c r="AD14" s="131">
        <f t="shared" si="8"/>
        <v>0</v>
      </c>
    </row>
    <row r="15" spans="1:30" ht="12">
      <c r="A15" s="115" t="s">
        <v>695</v>
      </c>
      <c r="B15" s="117"/>
      <c r="C15" s="117"/>
      <c r="D15" s="117"/>
      <c r="E15" s="120">
        <f t="shared" si="2"/>
        <v>0</v>
      </c>
      <c r="F15" s="117"/>
      <c r="G15" s="117"/>
      <c r="H15" s="120">
        <f t="shared" si="3"/>
        <v>0</v>
      </c>
      <c r="I15" s="117"/>
      <c r="J15" s="117"/>
      <c r="K15" s="117"/>
      <c r="L15" s="117"/>
      <c r="M15" s="117"/>
      <c r="N15" s="120">
        <f t="shared" si="4"/>
        <v>0</v>
      </c>
      <c r="O15" s="117"/>
      <c r="P15" s="117"/>
      <c r="Q15" s="117"/>
      <c r="R15" s="117"/>
      <c r="S15" s="117"/>
      <c r="T15" s="117"/>
      <c r="U15" s="120">
        <f t="shared" si="5"/>
        <v>0</v>
      </c>
      <c r="V15" s="117"/>
      <c r="W15" s="117"/>
      <c r="X15" s="117"/>
      <c r="Y15" s="120">
        <f t="shared" si="6"/>
        <v>0</v>
      </c>
      <c r="Z15" s="117"/>
      <c r="AA15" s="117"/>
      <c r="AB15" s="117"/>
      <c r="AC15" s="120">
        <f t="shared" si="7"/>
        <v>0</v>
      </c>
      <c r="AD15" s="131">
        <f t="shared" si="8"/>
        <v>0</v>
      </c>
    </row>
    <row r="16" spans="1:30" ht="12">
      <c r="A16" s="115" t="s">
        <v>696</v>
      </c>
      <c r="B16" s="117"/>
      <c r="C16" s="117"/>
      <c r="D16" s="117"/>
      <c r="E16" s="120">
        <f t="shared" si="2"/>
        <v>0</v>
      </c>
      <c r="F16" s="117"/>
      <c r="G16" s="117"/>
      <c r="H16" s="120">
        <f t="shared" si="3"/>
        <v>0</v>
      </c>
      <c r="I16" s="117"/>
      <c r="J16" s="117"/>
      <c r="K16" s="117"/>
      <c r="L16" s="117"/>
      <c r="M16" s="117"/>
      <c r="N16" s="120">
        <f t="shared" si="4"/>
        <v>0</v>
      </c>
      <c r="O16" s="117"/>
      <c r="P16" s="117"/>
      <c r="Q16" s="117"/>
      <c r="R16" s="117"/>
      <c r="S16" s="117"/>
      <c r="T16" s="117"/>
      <c r="U16" s="120">
        <f t="shared" si="5"/>
        <v>0</v>
      </c>
      <c r="V16" s="117"/>
      <c r="W16" s="117"/>
      <c r="X16" s="117"/>
      <c r="Y16" s="120">
        <f t="shared" si="6"/>
        <v>0</v>
      </c>
      <c r="Z16" s="117"/>
      <c r="AA16" s="117"/>
      <c r="AB16" s="117"/>
      <c r="AC16" s="120">
        <f t="shared" si="7"/>
        <v>0</v>
      </c>
      <c r="AD16" s="131">
        <f t="shared" si="8"/>
        <v>0</v>
      </c>
    </row>
    <row r="17" spans="1:30" ht="12">
      <c r="A17" s="115" t="s">
        <v>697</v>
      </c>
      <c r="B17" s="117"/>
      <c r="C17" s="117"/>
      <c r="D17" s="117"/>
      <c r="E17" s="120">
        <f t="shared" si="2"/>
        <v>0</v>
      </c>
      <c r="F17" s="117"/>
      <c r="G17" s="117"/>
      <c r="H17" s="120">
        <f t="shared" si="3"/>
        <v>0</v>
      </c>
      <c r="I17" s="117"/>
      <c r="J17" s="117"/>
      <c r="K17" s="117"/>
      <c r="L17" s="117"/>
      <c r="M17" s="117"/>
      <c r="N17" s="120">
        <f t="shared" si="4"/>
        <v>0</v>
      </c>
      <c r="O17" s="117"/>
      <c r="P17" s="117"/>
      <c r="Q17" s="117"/>
      <c r="R17" s="117"/>
      <c r="S17" s="117"/>
      <c r="T17" s="117"/>
      <c r="U17" s="120">
        <f t="shared" si="5"/>
        <v>0</v>
      </c>
      <c r="V17" s="117"/>
      <c r="W17" s="117"/>
      <c r="X17" s="117"/>
      <c r="Y17" s="120">
        <f t="shared" si="6"/>
        <v>0</v>
      </c>
      <c r="Z17" s="117"/>
      <c r="AA17" s="117"/>
      <c r="AB17" s="117"/>
      <c r="AC17" s="120">
        <f t="shared" si="7"/>
        <v>0</v>
      </c>
      <c r="AD17" s="131">
        <f t="shared" si="8"/>
        <v>0</v>
      </c>
    </row>
    <row r="18" spans="1:30" ht="12">
      <c r="A18" s="121" t="s">
        <v>698</v>
      </c>
      <c r="B18" s="122">
        <f aca="true" t="shared" si="9" ref="B18:AD18">SUM(B11:B17)</f>
        <v>0</v>
      </c>
      <c r="C18" s="122"/>
      <c r="D18" s="122">
        <f t="shared" si="9"/>
        <v>0</v>
      </c>
      <c r="E18" s="122">
        <f t="shared" si="9"/>
        <v>0</v>
      </c>
      <c r="F18" s="122">
        <f t="shared" si="9"/>
        <v>0</v>
      </c>
      <c r="G18" s="122">
        <f t="shared" si="9"/>
        <v>0</v>
      </c>
      <c r="H18" s="122">
        <f t="shared" si="9"/>
        <v>0</v>
      </c>
      <c r="I18" s="122">
        <f t="shared" si="9"/>
        <v>0</v>
      </c>
      <c r="J18" s="122">
        <f t="shared" si="9"/>
        <v>75</v>
      </c>
      <c r="K18" s="122">
        <f t="shared" si="9"/>
        <v>5</v>
      </c>
      <c r="L18" s="122">
        <f t="shared" si="9"/>
        <v>0</v>
      </c>
      <c r="M18" s="122">
        <f t="shared" si="9"/>
        <v>0</v>
      </c>
      <c r="N18" s="122">
        <f t="shared" si="9"/>
        <v>80</v>
      </c>
      <c r="O18" s="122">
        <f t="shared" si="9"/>
        <v>0</v>
      </c>
      <c r="P18" s="122">
        <f t="shared" si="9"/>
        <v>0</v>
      </c>
      <c r="Q18" s="122">
        <f t="shared" si="9"/>
        <v>0</v>
      </c>
      <c r="R18" s="122">
        <f t="shared" si="9"/>
        <v>0</v>
      </c>
      <c r="S18" s="122">
        <f t="shared" si="9"/>
        <v>0</v>
      </c>
      <c r="T18" s="122">
        <f t="shared" si="9"/>
        <v>0</v>
      </c>
      <c r="U18" s="122">
        <f t="shared" si="9"/>
        <v>0</v>
      </c>
      <c r="V18" s="122">
        <f t="shared" si="9"/>
        <v>0</v>
      </c>
      <c r="W18" s="122">
        <f t="shared" si="9"/>
        <v>0</v>
      </c>
      <c r="X18" s="122">
        <f t="shared" si="9"/>
        <v>0</v>
      </c>
      <c r="Y18" s="122">
        <f t="shared" si="9"/>
        <v>0</v>
      </c>
      <c r="Z18" s="122">
        <f t="shared" si="9"/>
        <v>0</v>
      </c>
      <c r="AA18" s="122">
        <f t="shared" si="9"/>
        <v>0</v>
      </c>
      <c r="AB18" s="122">
        <f t="shared" si="9"/>
        <v>0</v>
      </c>
      <c r="AC18" s="122">
        <f t="shared" si="9"/>
        <v>0</v>
      </c>
      <c r="AD18" s="122">
        <f t="shared" si="9"/>
        <v>80</v>
      </c>
    </row>
    <row r="19" spans="1:30" ht="12">
      <c r="A19" s="115" t="s">
        <v>699</v>
      </c>
      <c r="B19" s="117">
        <v>0</v>
      </c>
      <c r="C19" s="117"/>
      <c r="D19" s="117"/>
      <c r="E19" s="120">
        <f>SUM(B19:D19)</f>
        <v>0</v>
      </c>
      <c r="F19" s="117"/>
      <c r="G19" s="117"/>
      <c r="H19" s="120">
        <f>SUM(F19:G19)</f>
        <v>0</v>
      </c>
      <c r="I19" s="117"/>
      <c r="J19" s="117"/>
      <c r="K19" s="117"/>
      <c r="L19" s="117"/>
      <c r="M19" s="117"/>
      <c r="N19" s="120">
        <f>SUM(I19:M19)</f>
        <v>0</v>
      </c>
      <c r="O19" s="117"/>
      <c r="P19" s="117"/>
      <c r="Q19" s="117"/>
      <c r="R19" s="117"/>
      <c r="S19" s="117"/>
      <c r="T19" s="117"/>
      <c r="U19" s="120">
        <f>SUM(O19:T19)</f>
        <v>0</v>
      </c>
      <c r="V19" s="117"/>
      <c r="W19" s="117"/>
      <c r="X19" s="117"/>
      <c r="Y19" s="120">
        <f>SUM(V19:X19)</f>
        <v>0</v>
      </c>
      <c r="Z19" s="117"/>
      <c r="AA19" s="117"/>
      <c r="AB19" s="117"/>
      <c r="AC19" s="120">
        <f>SUM(Z19:AB19)</f>
        <v>0</v>
      </c>
      <c r="AD19" s="131">
        <f t="shared" si="8"/>
        <v>0</v>
      </c>
    </row>
    <row r="20" spans="1:30" ht="12">
      <c r="A20" s="115" t="s">
        <v>700</v>
      </c>
      <c r="B20" s="117"/>
      <c r="C20" s="117"/>
      <c r="D20" s="117"/>
      <c r="E20" s="120">
        <f>SUM(B20:D20)</f>
        <v>0</v>
      </c>
      <c r="F20" s="117"/>
      <c r="G20" s="117"/>
      <c r="H20" s="120">
        <f>SUM(F20:G20)</f>
        <v>0</v>
      </c>
      <c r="I20" s="117"/>
      <c r="J20" s="117"/>
      <c r="K20" s="117"/>
      <c r="L20" s="117"/>
      <c r="M20" s="117"/>
      <c r="N20" s="120">
        <f>SUM(I20:M20)</f>
        <v>0</v>
      </c>
      <c r="O20" s="117"/>
      <c r="P20" s="117"/>
      <c r="Q20" s="117"/>
      <c r="R20" s="117"/>
      <c r="S20" s="117"/>
      <c r="T20" s="117"/>
      <c r="U20" s="120">
        <f>SUM(O20:T20)</f>
        <v>0</v>
      </c>
      <c r="V20" s="117"/>
      <c r="W20" s="117"/>
      <c r="X20" s="117"/>
      <c r="Y20" s="120">
        <f>SUM(V20:X20)</f>
        <v>0</v>
      </c>
      <c r="Z20" s="117"/>
      <c r="AA20" s="117"/>
      <c r="AB20" s="117"/>
      <c r="AC20" s="120">
        <f>SUM(Z20:AB20)</f>
        <v>0</v>
      </c>
      <c r="AD20" s="131">
        <f t="shared" si="8"/>
        <v>0</v>
      </c>
    </row>
    <row r="21" spans="1:30" ht="12">
      <c r="A21" s="115" t="s">
        <v>701</v>
      </c>
      <c r="B21" s="117"/>
      <c r="C21" s="117"/>
      <c r="D21" s="117"/>
      <c r="E21" s="120">
        <f>SUM(B21:D21)</f>
        <v>0</v>
      </c>
      <c r="F21" s="117"/>
      <c r="G21" s="117"/>
      <c r="H21" s="120">
        <f>SUM(F21:G21)</f>
        <v>0</v>
      </c>
      <c r="I21" s="117"/>
      <c r="J21" s="117">
        <f>bev!$D$59</f>
        <v>19</v>
      </c>
      <c r="K21" s="117"/>
      <c r="L21" s="117"/>
      <c r="M21" s="117"/>
      <c r="N21" s="120">
        <f>SUM(I21:M21)</f>
        <v>19</v>
      </c>
      <c r="O21" s="117"/>
      <c r="P21" s="117"/>
      <c r="Q21" s="117"/>
      <c r="R21" s="117"/>
      <c r="S21" s="117"/>
      <c r="T21" s="117"/>
      <c r="U21" s="120">
        <f>SUM(O21:T21)</f>
        <v>0</v>
      </c>
      <c r="V21" s="117">
        <f>bev!$D$166</f>
        <v>120</v>
      </c>
      <c r="W21" s="117">
        <f>bev!$D$201</f>
        <v>366</v>
      </c>
      <c r="X21" s="117">
        <f>bev!D241</f>
        <v>111</v>
      </c>
      <c r="Y21" s="120">
        <f>SUM(V21:X21)</f>
        <v>597</v>
      </c>
      <c r="Z21" s="117"/>
      <c r="AA21" s="117"/>
      <c r="AB21" s="117">
        <f>bev!$D$370</f>
        <v>0</v>
      </c>
      <c r="AC21" s="120">
        <f>SUM(Z21:AB21)</f>
        <v>0</v>
      </c>
      <c r="AD21" s="131">
        <f t="shared" si="8"/>
        <v>616</v>
      </c>
    </row>
    <row r="22" spans="1:30" ht="12">
      <c r="A22" s="115" t="s">
        <v>702</v>
      </c>
      <c r="B22" s="117"/>
      <c r="C22" s="117"/>
      <c r="D22" s="117"/>
      <c r="E22" s="120">
        <f>SUM(B22:D22)</f>
        <v>0</v>
      </c>
      <c r="F22" s="117"/>
      <c r="G22" s="117"/>
      <c r="H22" s="120">
        <f>SUM(F22:G22)</f>
        <v>0</v>
      </c>
      <c r="I22" s="117"/>
      <c r="J22" s="117"/>
      <c r="K22" s="117"/>
      <c r="L22" s="117"/>
      <c r="M22" s="117"/>
      <c r="N22" s="120">
        <f>SUM(I22:M22)</f>
        <v>0</v>
      </c>
      <c r="O22" s="117"/>
      <c r="P22" s="117"/>
      <c r="Q22" s="117"/>
      <c r="R22" s="117"/>
      <c r="S22" s="117"/>
      <c r="T22" s="117"/>
      <c r="U22" s="120">
        <f>SUM(O22:T22)</f>
        <v>0</v>
      </c>
      <c r="V22" s="117"/>
      <c r="W22" s="117"/>
      <c r="X22" s="117"/>
      <c r="Y22" s="120">
        <f>SUM(V22:X22)</f>
        <v>0</v>
      </c>
      <c r="Z22" s="117"/>
      <c r="AA22" s="117"/>
      <c r="AB22" s="117"/>
      <c r="AC22" s="120">
        <f>SUM(Z22:AB22)</f>
        <v>0</v>
      </c>
      <c r="AD22" s="131">
        <f t="shared" si="8"/>
        <v>0</v>
      </c>
    </row>
    <row r="23" spans="1:30" ht="12">
      <c r="A23" s="121" t="s">
        <v>1618</v>
      </c>
      <c r="B23" s="122">
        <f aca="true" t="shared" si="10" ref="B23:AD23">SUM(B19:B22)</f>
        <v>0</v>
      </c>
      <c r="C23" s="122"/>
      <c r="D23" s="122">
        <f t="shared" si="10"/>
        <v>0</v>
      </c>
      <c r="E23" s="122">
        <f t="shared" si="10"/>
        <v>0</v>
      </c>
      <c r="F23" s="122">
        <f t="shared" si="10"/>
        <v>0</v>
      </c>
      <c r="G23" s="122">
        <f t="shared" si="10"/>
        <v>0</v>
      </c>
      <c r="H23" s="122">
        <f t="shared" si="10"/>
        <v>0</v>
      </c>
      <c r="I23" s="122">
        <f t="shared" si="10"/>
        <v>0</v>
      </c>
      <c r="J23" s="122">
        <f t="shared" si="10"/>
        <v>19</v>
      </c>
      <c r="K23" s="122">
        <f t="shared" si="10"/>
        <v>0</v>
      </c>
      <c r="L23" s="122">
        <f t="shared" si="10"/>
        <v>0</v>
      </c>
      <c r="M23" s="122">
        <f t="shared" si="10"/>
        <v>0</v>
      </c>
      <c r="N23" s="122">
        <f t="shared" si="10"/>
        <v>19</v>
      </c>
      <c r="O23" s="122">
        <f t="shared" si="10"/>
        <v>0</v>
      </c>
      <c r="P23" s="122">
        <f t="shared" si="10"/>
        <v>0</v>
      </c>
      <c r="Q23" s="122">
        <f t="shared" si="10"/>
        <v>0</v>
      </c>
      <c r="R23" s="122">
        <f t="shared" si="10"/>
        <v>0</v>
      </c>
      <c r="S23" s="122">
        <f t="shared" si="10"/>
        <v>0</v>
      </c>
      <c r="T23" s="122">
        <f t="shared" si="10"/>
        <v>0</v>
      </c>
      <c r="U23" s="122">
        <f t="shared" si="10"/>
        <v>0</v>
      </c>
      <c r="V23" s="122">
        <f t="shared" si="10"/>
        <v>120</v>
      </c>
      <c r="W23" s="122">
        <f t="shared" si="10"/>
        <v>366</v>
      </c>
      <c r="X23" s="122">
        <f t="shared" si="10"/>
        <v>111</v>
      </c>
      <c r="Y23" s="122">
        <f t="shared" si="10"/>
        <v>597</v>
      </c>
      <c r="Z23" s="122">
        <f t="shared" si="10"/>
        <v>0</v>
      </c>
      <c r="AA23" s="122">
        <f t="shared" si="10"/>
        <v>0</v>
      </c>
      <c r="AB23" s="122">
        <f t="shared" si="10"/>
        <v>0</v>
      </c>
      <c r="AC23" s="122">
        <f t="shared" si="10"/>
        <v>0</v>
      </c>
      <c r="AD23" s="122">
        <f t="shared" si="10"/>
        <v>616</v>
      </c>
    </row>
    <row r="24" spans="1:30" ht="12">
      <c r="A24" s="115" t="s">
        <v>1619</v>
      </c>
      <c r="B24" s="117">
        <v>0</v>
      </c>
      <c r="C24" s="117"/>
      <c r="D24" s="117"/>
      <c r="E24" s="120">
        <f>SUM(B24:D24)</f>
        <v>0</v>
      </c>
      <c r="F24" s="117"/>
      <c r="G24" s="117"/>
      <c r="H24" s="120">
        <f>SUM(F24:G24)</f>
        <v>0</v>
      </c>
      <c r="I24" s="117"/>
      <c r="J24" s="117"/>
      <c r="K24" s="117"/>
      <c r="L24" s="117"/>
      <c r="M24" s="117"/>
      <c r="N24" s="120">
        <f>SUM(I24:M24)</f>
        <v>0</v>
      </c>
      <c r="O24" s="117"/>
      <c r="P24" s="117"/>
      <c r="Q24" s="117"/>
      <c r="R24" s="117"/>
      <c r="S24" s="117"/>
      <c r="T24" s="117"/>
      <c r="U24" s="120">
        <f>SUM(O24:T24)</f>
        <v>0</v>
      </c>
      <c r="V24" s="117"/>
      <c r="W24" s="117"/>
      <c r="X24" s="117"/>
      <c r="Y24" s="120">
        <f>SUM(V24:X24)</f>
        <v>0</v>
      </c>
      <c r="Z24" s="117"/>
      <c r="AA24" s="117"/>
      <c r="AB24" s="117"/>
      <c r="AC24" s="120">
        <f>SUM(Z24:AB24)</f>
        <v>0</v>
      </c>
      <c r="AD24" s="131">
        <f t="shared" si="8"/>
        <v>0</v>
      </c>
    </row>
    <row r="25" spans="1:30" ht="12">
      <c r="A25" s="115" t="s">
        <v>1620</v>
      </c>
      <c r="B25" s="117"/>
      <c r="C25" s="117"/>
      <c r="D25" s="117"/>
      <c r="E25" s="120">
        <f>SUM(B25:D25)</f>
        <v>0</v>
      </c>
      <c r="F25" s="117"/>
      <c r="G25" s="117"/>
      <c r="H25" s="120">
        <f>SUM(F25:G25)</f>
        <v>0</v>
      </c>
      <c r="I25" s="117"/>
      <c r="J25" s="117"/>
      <c r="K25" s="117"/>
      <c r="L25" s="117"/>
      <c r="M25" s="117"/>
      <c r="N25" s="120">
        <f>SUM(I25:M25)</f>
        <v>0</v>
      </c>
      <c r="O25" s="117"/>
      <c r="P25" s="117"/>
      <c r="Q25" s="117"/>
      <c r="R25" s="117"/>
      <c r="S25" s="117"/>
      <c r="T25" s="117"/>
      <c r="U25" s="120">
        <f>SUM(O25:T25)</f>
        <v>0</v>
      </c>
      <c r="V25" s="117"/>
      <c r="W25" s="117"/>
      <c r="X25" s="117"/>
      <c r="Y25" s="120">
        <f>SUM(V25:X25)</f>
        <v>0</v>
      </c>
      <c r="Z25" s="117"/>
      <c r="AA25" s="117"/>
      <c r="AB25" s="117"/>
      <c r="AC25" s="120">
        <f>SUM(Z25:AB25)</f>
        <v>0</v>
      </c>
      <c r="AD25" s="131">
        <f t="shared" si="8"/>
        <v>0</v>
      </c>
    </row>
    <row r="26" spans="1:30" ht="12">
      <c r="A26" s="121" t="s">
        <v>1621</v>
      </c>
      <c r="B26" s="122">
        <f aca="true" t="shared" si="11" ref="B26:AD26">SUM(B24:B25)</f>
        <v>0</v>
      </c>
      <c r="C26" s="122"/>
      <c r="D26" s="122">
        <f t="shared" si="11"/>
        <v>0</v>
      </c>
      <c r="E26" s="122">
        <f t="shared" si="11"/>
        <v>0</v>
      </c>
      <c r="F26" s="122">
        <f t="shared" si="11"/>
        <v>0</v>
      </c>
      <c r="G26" s="122">
        <f t="shared" si="11"/>
        <v>0</v>
      </c>
      <c r="H26" s="122">
        <f t="shared" si="11"/>
        <v>0</v>
      </c>
      <c r="I26" s="122">
        <f t="shared" si="11"/>
        <v>0</v>
      </c>
      <c r="J26" s="122">
        <f t="shared" si="11"/>
        <v>0</v>
      </c>
      <c r="K26" s="122">
        <f t="shared" si="11"/>
        <v>0</v>
      </c>
      <c r="L26" s="122">
        <f t="shared" si="11"/>
        <v>0</v>
      </c>
      <c r="M26" s="122">
        <f t="shared" si="11"/>
        <v>0</v>
      </c>
      <c r="N26" s="122">
        <f t="shared" si="11"/>
        <v>0</v>
      </c>
      <c r="O26" s="122">
        <f t="shared" si="11"/>
        <v>0</v>
      </c>
      <c r="P26" s="122">
        <f t="shared" si="11"/>
        <v>0</v>
      </c>
      <c r="Q26" s="122">
        <f t="shared" si="11"/>
        <v>0</v>
      </c>
      <c r="R26" s="122">
        <f t="shared" si="11"/>
        <v>0</v>
      </c>
      <c r="S26" s="122">
        <f t="shared" si="11"/>
        <v>0</v>
      </c>
      <c r="T26" s="122">
        <f t="shared" si="11"/>
        <v>0</v>
      </c>
      <c r="U26" s="122">
        <f t="shared" si="11"/>
        <v>0</v>
      </c>
      <c r="V26" s="122">
        <f t="shared" si="11"/>
        <v>0</v>
      </c>
      <c r="W26" s="122">
        <f t="shared" si="11"/>
        <v>0</v>
      </c>
      <c r="X26" s="122">
        <f t="shared" si="11"/>
        <v>0</v>
      </c>
      <c r="Y26" s="122">
        <f t="shared" si="11"/>
        <v>0</v>
      </c>
      <c r="Z26" s="122">
        <f t="shared" si="11"/>
        <v>0</v>
      </c>
      <c r="AA26" s="122">
        <f t="shared" si="11"/>
        <v>0</v>
      </c>
      <c r="AB26" s="122">
        <f t="shared" si="11"/>
        <v>0</v>
      </c>
      <c r="AC26" s="122">
        <f t="shared" si="11"/>
        <v>0</v>
      </c>
      <c r="AD26" s="122">
        <f t="shared" si="11"/>
        <v>0</v>
      </c>
    </row>
    <row r="27" spans="1:30" ht="12">
      <c r="A27" s="115" t="s">
        <v>1622</v>
      </c>
      <c r="B27" s="117">
        <v>0</v>
      </c>
      <c r="C27" s="117"/>
      <c r="D27" s="117"/>
      <c r="E27" s="120">
        <f>SUM(B27:D27)</f>
        <v>0</v>
      </c>
      <c r="F27" s="117"/>
      <c r="G27" s="117"/>
      <c r="H27" s="120">
        <f>SUM(F27:G27)</f>
        <v>0</v>
      </c>
      <c r="I27" s="117"/>
      <c r="J27" s="117"/>
      <c r="K27" s="117"/>
      <c r="L27" s="117"/>
      <c r="M27" s="117"/>
      <c r="N27" s="120">
        <f>SUM(I27:M27)</f>
        <v>0</v>
      </c>
      <c r="O27" s="117"/>
      <c r="P27" s="117"/>
      <c r="Q27" s="117"/>
      <c r="R27" s="117"/>
      <c r="S27" s="117"/>
      <c r="T27" s="117"/>
      <c r="U27" s="120">
        <f>SUM(O27:T27)</f>
        <v>0</v>
      </c>
      <c r="V27" s="117"/>
      <c r="W27" s="117"/>
      <c r="X27" s="117"/>
      <c r="Y27" s="120">
        <f>SUM(V27:X27)</f>
        <v>0</v>
      </c>
      <c r="Z27" s="117"/>
      <c r="AA27" s="117"/>
      <c r="AB27" s="117"/>
      <c r="AC27" s="120">
        <f>SUM(Z27:AB27)</f>
        <v>0</v>
      </c>
      <c r="AD27" s="131">
        <f t="shared" si="8"/>
        <v>0</v>
      </c>
    </row>
    <row r="28" spans="1:30" ht="12">
      <c r="A28" s="115" t="s">
        <v>1623</v>
      </c>
      <c r="B28" s="117">
        <f>bev!$D$27</f>
        <v>0</v>
      </c>
      <c r="C28" s="117"/>
      <c r="D28" s="117"/>
      <c r="E28" s="120">
        <f>SUM(B28:D28)</f>
        <v>0</v>
      </c>
      <c r="F28" s="117"/>
      <c r="G28" s="117"/>
      <c r="H28" s="120">
        <f>SUM(F28:G28)</f>
        <v>0</v>
      </c>
      <c r="I28" s="117"/>
      <c r="J28" s="117"/>
      <c r="K28" s="117"/>
      <c r="L28" s="117"/>
      <c r="M28" s="117"/>
      <c r="N28" s="120">
        <f>SUM(I28:M28)</f>
        <v>0</v>
      </c>
      <c r="O28" s="117"/>
      <c r="P28" s="117"/>
      <c r="Q28" s="117"/>
      <c r="R28" s="117"/>
      <c r="S28" s="117"/>
      <c r="T28" s="117"/>
      <c r="U28" s="120">
        <f>SUM(O28:T28)</f>
        <v>0</v>
      </c>
      <c r="V28" s="117"/>
      <c r="W28" s="117"/>
      <c r="X28" s="117"/>
      <c r="Y28" s="120">
        <f>SUM(V28:X28)</f>
        <v>0</v>
      </c>
      <c r="Z28" s="117"/>
      <c r="AA28" s="117"/>
      <c r="AB28" s="117"/>
      <c r="AC28" s="120">
        <f>SUM(Z28:AB28)</f>
        <v>0</v>
      </c>
      <c r="AD28" s="131">
        <f t="shared" si="8"/>
        <v>0</v>
      </c>
    </row>
    <row r="29" spans="1:30" ht="12">
      <c r="A29" s="115" t="s">
        <v>1624</v>
      </c>
      <c r="B29" s="117"/>
      <c r="C29" s="117"/>
      <c r="D29" s="117"/>
      <c r="E29" s="120">
        <f>SUM(B29:D29)</f>
        <v>0</v>
      </c>
      <c r="F29" s="117"/>
      <c r="G29" s="117"/>
      <c r="H29" s="120">
        <f>SUM(F29:G29)</f>
        <v>0</v>
      </c>
      <c r="I29" s="117"/>
      <c r="J29" s="117"/>
      <c r="K29" s="117"/>
      <c r="L29" s="117"/>
      <c r="M29" s="117"/>
      <c r="N29" s="120">
        <f>SUM(I29:M29)</f>
        <v>0</v>
      </c>
      <c r="O29" s="117"/>
      <c r="P29" s="117"/>
      <c r="Q29" s="117"/>
      <c r="R29" s="117"/>
      <c r="S29" s="117"/>
      <c r="T29" s="117"/>
      <c r="U29" s="120">
        <f>SUM(O29:T29)</f>
        <v>0</v>
      </c>
      <c r="V29" s="117"/>
      <c r="W29" s="117"/>
      <c r="X29" s="117"/>
      <c r="Y29" s="120">
        <f>SUM(V29:X29)</f>
        <v>0</v>
      </c>
      <c r="Z29" s="117"/>
      <c r="AA29" s="117"/>
      <c r="AB29" s="117"/>
      <c r="AC29" s="120">
        <f>SUM(Z29:AB29)</f>
        <v>0</v>
      </c>
      <c r="AD29" s="131">
        <f t="shared" si="8"/>
        <v>0</v>
      </c>
    </row>
    <row r="30" spans="1:30" ht="12">
      <c r="A30" s="121" t="s">
        <v>1625</v>
      </c>
      <c r="B30" s="122">
        <f aca="true" t="shared" si="12" ref="B30:AD30">SUM(B27:B29)</f>
        <v>0</v>
      </c>
      <c r="C30" s="122"/>
      <c r="D30" s="122">
        <f t="shared" si="12"/>
        <v>0</v>
      </c>
      <c r="E30" s="122">
        <f t="shared" si="12"/>
        <v>0</v>
      </c>
      <c r="F30" s="122">
        <f t="shared" si="12"/>
        <v>0</v>
      </c>
      <c r="G30" s="122">
        <f t="shared" si="12"/>
        <v>0</v>
      </c>
      <c r="H30" s="122">
        <f t="shared" si="12"/>
        <v>0</v>
      </c>
      <c r="I30" s="122">
        <f t="shared" si="12"/>
        <v>0</v>
      </c>
      <c r="J30" s="122">
        <f t="shared" si="12"/>
        <v>0</v>
      </c>
      <c r="K30" s="122">
        <f t="shared" si="12"/>
        <v>0</v>
      </c>
      <c r="L30" s="122">
        <f t="shared" si="12"/>
        <v>0</v>
      </c>
      <c r="M30" s="122">
        <f t="shared" si="12"/>
        <v>0</v>
      </c>
      <c r="N30" s="122">
        <f t="shared" si="12"/>
        <v>0</v>
      </c>
      <c r="O30" s="122">
        <f t="shared" si="12"/>
        <v>0</v>
      </c>
      <c r="P30" s="122">
        <f t="shared" si="12"/>
        <v>0</v>
      </c>
      <c r="Q30" s="122">
        <f t="shared" si="12"/>
        <v>0</v>
      </c>
      <c r="R30" s="122">
        <f t="shared" si="12"/>
        <v>0</v>
      </c>
      <c r="S30" s="122">
        <f t="shared" si="12"/>
        <v>0</v>
      </c>
      <c r="T30" s="122">
        <f t="shared" si="12"/>
        <v>0</v>
      </c>
      <c r="U30" s="122">
        <f t="shared" si="12"/>
        <v>0</v>
      </c>
      <c r="V30" s="122">
        <f t="shared" si="12"/>
        <v>0</v>
      </c>
      <c r="W30" s="122">
        <f t="shared" si="12"/>
        <v>0</v>
      </c>
      <c r="X30" s="122">
        <f t="shared" si="12"/>
        <v>0</v>
      </c>
      <c r="Y30" s="122">
        <f t="shared" si="12"/>
        <v>0</v>
      </c>
      <c r="Z30" s="122">
        <f t="shared" si="12"/>
        <v>0</v>
      </c>
      <c r="AA30" s="122">
        <f t="shared" si="12"/>
        <v>0</v>
      </c>
      <c r="AB30" s="122">
        <f t="shared" si="12"/>
        <v>0</v>
      </c>
      <c r="AC30" s="122">
        <f t="shared" si="12"/>
        <v>0</v>
      </c>
      <c r="AD30" s="122">
        <f t="shared" si="12"/>
        <v>0</v>
      </c>
    </row>
    <row r="31" spans="1:30" ht="12">
      <c r="A31" s="116" t="s">
        <v>1626</v>
      </c>
      <c r="B31" s="118">
        <f aca="true" t="shared" si="13" ref="B31:AD31">B6+B10+B18+B23+B26+B30</f>
        <v>0</v>
      </c>
      <c r="C31" s="118"/>
      <c r="D31" s="118">
        <f t="shared" si="13"/>
        <v>0</v>
      </c>
      <c r="E31" s="118">
        <f t="shared" si="13"/>
        <v>0</v>
      </c>
      <c r="F31" s="118">
        <f t="shared" si="13"/>
        <v>0</v>
      </c>
      <c r="G31" s="118">
        <f t="shared" si="13"/>
        <v>0</v>
      </c>
      <c r="H31" s="118">
        <f t="shared" si="13"/>
        <v>0</v>
      </c>
      <c r="I31" s="118">
        <f t="shared" si="13"/>
        <v>0</v>
      </c>
      <c r="J31" s="118">
        <f t="shared" si="13"/>
        <v>94</v>
      </c>
      <c r="K31" s="118">
        <f t="shared" si="13"/>
        <v>5</v>
      </c>
      <c r="L31" s="118">
        <f t="shared" si="13"/>
        <v>0</v>
      </c>
      <c r="M31" s="118">
        <f t="shared" si="13"/>
        <v>0</v>
      </c>
      <c r="N31" s="118">
        <f t="shared" si="13"/>
        <v>99</v>
      </c>
      <c r="O31" s="118">
        <f t="shared" si="13"/>
        <v>0</v>
      </c>
      <c r="P31" s="118">
        <f t="shared" si="13"/>
        <v>0</v>
      </c>
      <c r="Q31" s="118">
        <f t="shared" si="13"/>
        <v>0</v>
      </c>
      <c r="R31" s="118">
        <f t="shared" si="13"/>
        <v>0</v>
      </c>
      <c r="S31" s="118">
        <f t="shared" si="13"/>
        <v>0</v>
      </c>
      <c r="T31" s="118">
        <f t="shared" si="13"/>
        <v>0</v>
      </c>
      <c r="U31" s="118">
        <f t="shared" si="13"/>
        <v>0</v>
      </c>
      <c r="V31" s="118">
        <f t="shared" si="13"/>
        <v>717</v>
      </c>
      <c r="W31" s="118">
        <f t="shared" si="13"/>
        <v>2195</v>
      </c>
      <c r="X31" s="118">
        <f t="shared" si="13"/>
        <v>665</v>
      </c>
      <c r="Y31" s="118">
        <f t="shared" si="13"/>
        <v>3577</v>
      </c>
      <c r="Z31" s="118">
        <f t="shared" si="13"/>
        <v>0</v>
      </c>
      <c r="AA31" s="118">
        <f t="shared" si="13"/>
        <v>0</v>
      </c>
      <c r="AB31" s="118">
        <f t="shared" si="13"/>
        <v>0</v>
      </c>
      <c r="AC31" s="118">
        <f t="shared" si="13"/>
        <v>0</v>
      </c>
      <c r="AD31" s="118">
        <f t="shared" si="13"/>
        <v>3676</v>
      </c>
    </row>
    <row r="32" spans="1:30" ht="12">
      <c r="A32" s="115" t="s">
        <v>1627</v>
      </c>
      <c r="B32" s="117">
        <v>0</v>
      </c>
      <c r="C32" s="117"/>
      <c r="D32" s="117"/>
      <c r="E32" s="120">
        <f>SUM(B32:D32)</f>
        <v>0</v>
      </c>
      <c r="F32" s="117"/>
      <c r="G32" s="117"/>
      <c r="H32" s="120">
        <f>SUM(F32:G32)</f>
        <v>0</v>
      </c>
      <c r="I32" s="117"/>
      <c r="J32" s="117"/>
      <c r="K32" s="117"/>
      <c r="L32" s="117"/>
      <c r="M32" s="117"/>
      <c r="N32" s="120">
        <f>SUM(I32:M32)</f>
        <v>0</v>
      </c>
      <c r="O32" s="117"/>
      <c r="P32" s="117"/>
      <c r="Q32" s="117"/>
      <c r="R32" s="117"/>
      <c r="S32" s="117"/>
      <c r="T32" s="117"/>
      <c r="U32" s="120">
        <f>SUM(O32:T32)</f>
        <v>0</v>
      </c>
      <c r="V32" s="117"/>
      <c r="W32" s="117"/>
      <c r="X32" s="117"/>
      <c r="Y32" s="120">
        <f>SUM(V32:X32)</f>
        <v>0</v>
      </c>
      <c r="Z32" s="117"/>
      <c r="AA32" s="117"/>
      <c r="AB32" s="117"/>
      <c r="AC32" s="120">
        <f>SUM(Z32:AB32)</f>
        <v>0</v>
      </c>
      <c r="AD32" s="131">
        <f>E32+H32+N32+U32+Y32+AC32</f>
        <v>0</v>
      </c>
    </row>
    <row r="33" spans="1:30" ht="12">
      <c r="A33" s="115" t="s">
        <v>1628</v>
      </c>
      <c r="B33" s="117"/>
      <c r="C33" s="117"/>
      <c r="D33" s="117"/>
      <c r="E33" s="120">
        <f>SUM(B33:D33)</f>
        <v>0</v>
      </c>
      <c r="F33" s="117"/>
      <c r="G33" s="117"/>
      <c r="H33" s="120">
        <f>SUM(F33:G33)</f>
        <v>0</v>
      </c>
      <c r="I33" s="117"/>
      <c r="J33" s="117"/>
      <c r="K33" s="117"/>
      <c r="L33" s="117"/>
      <c r="M33" s="117"/>
      <c r="N33" s="120">
        <f>SUM(I33:M33)</f>
        <v>0</v>
      </c>
      <c r="O33" s="117"/>
      <c r="P33" s="117"/>
      <c r="Q33" s="117"/>
      <c r="R33" s="117"/>
      <c r="S33" s="117"/>
      <c r="T33" s="117"/>
      <c r="U33" s="120">
        <f>SUM(O33:T33)</f>
        <v>0</v>
      </c>
      <c r="V33" s="117"/>
      <c r="W33" s="117"/>
      <c r="X33" s="117"/>
      <c r="Y33" s="120">
        <f>SUM(V33:X33)</f>
        <v>0</v>
      </c>
      <c r="Z33" s="117"/>
      <c r="AA33" s="117"/>
      <c r="AB33" s="117"/>
      <c r="AC33" s="120">
        <f>SUM(Z33:AB33)</f>
        <v>0</v>
      </c>
      <c r="AD33" s="131">
        <f>E33+H33+N33+U33+Y33+AC33</f>
        <v>0</v>
      </c>
    </row>
    <row r="34" spans="1:30" ht="12">
      <c r="A34" s="115" t="s">
        <v>1629</v>
      </c>
      <c r="B34" s="117"/>
      <c r="C34" s="117"/>
      <c r="D34" s="117"/>
      <c r="E34" s="120">
        <f>SUM(B34:D34)</f>
        <v>0</v>
      </c>
      <c r="F34" s="117"/>
      <c r="G34" s="117"/>
      <c r="H34" s="120">
        <f>SUM(F34:G34)</f>
        <v>0</v>
      </c>
      <c r="I34" s="117"/>
      <c r="J34" s="117"/>
      <c r="K34" s="117"/>
      <c r="L34" s="117"/>
      <c r="M34" s="117"/>
      <c r="N34" s="120">
        <f>SUM(I34:M34)</f>
        <v>0</v>
      </c>
      <c r="O34" s="117"/>
      <c r="P34" s="117"/>
      <c r="Q34" s="117"/>
      <c r="R34" s="117"/>
      <c r="S34" s="117"/>
      <c r="T34" s="117"/>
      <c r="U34" s="120">
        <f>SUM(O34:T34)</f>
        <v>0</v>
      </c>
      <c r="V34" s="117"/>
      <c r="W34" s="117"/>
      <c r="X34" s="117"/>
      <c r="Y34" s="120">
        <f>SUM(V34:X34)</f>
        <v>0</v>
      </c>
      <c r="Z34" s="117"/>
      <c r="AA34" s="117"/>
      <c r="AB34" s="117"/>
      <c r="AC34" s="120">
        <f>SUM(Z34:AB34)</f>
        <v>0</v>
      </c>
      <c r="AD34" s="131">
        <f>E34+H34+N34+U34+Y34+AC34</f>
        <v>0</v>
      </c>
    </row>
    <row r="35" spans="1:30" ht="12">
      <c r="A35" s="121" t="s">
        <v>1630</v>
      </c>
      <c r="B35" s="122">
        <f aca="true" t="shared" si="14" ref="B35:AD35">SUM(B32:B34)</f>
        <v>0</v>
      </c>
      <c r="C35" s="122"/>
      <c r="D35" s="122">
        <f t="shared" si="14"/>
        <v>0</v>
      </c>
      <c r="E35" s="122">
        <f t="shared" si="14"/>
        <v>0</v>
      </c>
      <c r="F35" s="122">
        <f t="shared" si="14"/>
        <v>0</v>
      </c>
      <c r="G35" s="122">
        <f t="shared" si="14"/>
        <v>0</v>
      </c>
      <c r="H35" s="122">
        <f t="shared" si="14"/>
        <v>0</v>
      </c>
      <c r="I35" s="122">
        <f t="shared" si="14"/>
        <v>0</v>
      </c>
      <c r="J35" s="122">
        <f t="shared" si="14"/>
        <v>0</v>
      </c>
      <c r="K35" s="122">
        <f t="shared" si="14"/>
        <v>0</v>
      </c>
      <c r="L35" s="122">
        <f t="shared" si="14"/>
        <v>0</v>
      </c>
      <c r="M35" s="122">
        <f t="shared" si="14"/>
        <v>0</v>
      </c>
      <c r="N35" s="122">
        <f t="shared" si="14"/>
        <v>0</v>
      </c>
      <c r="O35" s="122">
        <f t="shared" si="14"/>
        <v>0</v>
      </c>
      <c r="P35" s="122">
        <f t="shared" si="14"/>
        <v>0</v>
      </c>
      <c r="Q35" s="122">
        <f t="shared" si="14"/>
        <v>0</v>
      </c>
      <c r="R35" s="122">
        <f t="shared" si="14"/>
        <v>0</v>
      </c>
      <c r="S35" s="122">
        <f t="shared" si="14"/>
        <v>0</v>
      </c>
      <c r="T35" s="122">
        <f t="shared" si="14"/>
        <v>0</v>
      </c>
      <c r="U35" s="122">
        <f t="shared" si="14"/>
        <v>0</v>
      </c>
      <c r="V35" s="122">
        <f t="shared" si="14"/>
        <v>0</v>
      </c>
      <c r="W35" s="122">
        <f t="shared" si="14"/>
        <v>0</v>
      </c>
      <c r="X35" s="122">
        <f t="shared" si="14"/>
        <v>0</v>
      </c>
      <c r="Y35" s="122">
        <f t="shared" si="14"/>
        <v>0</v>
      </c>
      <c r="Z35" s="122">
        <f t="shared" si="14"/>
        <v>0</v>
      </c>
      <c r="AA35" s="122">
        <f t="shared" si="14"/>
        <v>0</v>
      </c>
      <c r="AB35" s="122">
        <f t="shared" si="14"/>
        <v>0</v>
      </c>
      <c r="AC35" s="122">
        <f t="shared" si="14"/>
        <v>0</v>
      </c>
      <c r="AD35" s="122">
        <f t="shared" si="14"/>
        <v>0</v>
      </c>
    </row>
    <row r="36" spans="1:30" ht="12">
      <c r="A36" s="121" t="s">
        <v>1631</v>
      </c>
      <c r="B36" s="122"/>
      <c r="C36" s="122"/>
      <c r="D36" s="122"/>
      <c r="E36" s="122">
        <f>SUM(B36:D36)</f>
        <v>0</v>
      </c>
      <c r="F36" s="122"/>
      <c r="G36" s="122"/>
      <c r="H36" s="122">
        <f>SUM(F36:G36)</f>
        <v>0</v>
      </c>
      <c r="I36" s="122"/>
      <c r="J36" s="122"/>
      <c r="K36" s="122"/>
      <c r="L36" s="122"/>
      <c r="M36" s="122"/>
      <c r="N36" s="122">
        <f>SUM(I36:M36)</f>
        <v>0</v>
      </c>
      <c r="O36" s="122"/>
      <c r="P36" s="122"/>
      <c r="Q36" s="122"/>
      <c r="R36" s="122"/>
      <c r="S36" s="122"/>
      <c r="T36" s="122"/>
      <c r="U36" s="122">
        <f>SUM(O36:T36)</f>
        <v>0</v>
      </c>
      <c r="V36" s="122"/>
      <c r="W36" s="122"/>
      <c r="X36" s="122"/>
      <c r="Y36" s="122">
        <f>SUM(V36:X36)</f>
        <v>0</v>
      </c>
      <c r="Z36" s="122"/>
      <c r="AA36" s="122">
        <f>bev!$D$314</f>
        <v>0</v>
      </c>
      <c r="AB36" s="122"/>
      <c r="AC36" s="122">
        <f>SUM(Z36:AB36)</f>
        <v>0</v>
      </c>
      <c r="AD36" s="122">
        <f>E36+H36+N36+U36+Y36+AC36</f>
        <v>0</v>
      </c>
    </row>
    <row r="37" spans="1:30" ht="12">
      <c r="A37" s="115" t="s">
        <v>1632</v>
      </c>
      <c r="B37" s="117">
        <f>bev!$D$24</f>
        <v>0</v>
      </c>
      <c r="C37" s="117"/>
      <c r="D37" s="117"/>
      <c r="E37" s="120">
        <f>SUM(B37:D37)</f>
        <v>0</v>
      </c>
      <c r="F37" s="117"/>
      <c r="G37" s="117"/>
      <c r="H37" s="120">
        <f>SUM(F37:G37)</f>
        <v>0</v>
      </c>
      <c r="I37" s="117"/>
      <c r="J37" s="117"/>
      <c r="K37" s="117"/>
      <c r="L37" s="117"/>
      <c r="M37" s="117"/>
      <c r="N37" s="120">
        <f>SUM(I37:M37)</f>
        <v>0</v>
      </c>
      <c r="O37" s="117"/>
      <c r="P37" s="117"/>
      <c r="Q37" s="117"/>
      <c r="R37" s="117"/>
      <c r="S37" s="117"/>
      <c r="T37" s="117"/>
      <c r="U37" s="120">
        <f>SUM(O37:T37)</f>
        <v>0</v>
      </c>
      <c r="V37" s="117"/>
      <c r="W37" s="117"/>
      <c r="X37" s="117"/>
      <c r="Y37" s="120">
        <f>SUM(V37:X37)</f>
        <v>0</v>
      </c>
      <c r="Z37" s="117"/>
      <c r="AA37" s="117"/>
      <c r="AB37" s="117"/>
      <c r="AC37" s="120">
        <f>SUM(Z37:AB37)</f>
        <v>0</v>
      </c>
      <c r="AD37" s="131">
        <f>E37+H37+N37+U37+Y37+AC37</f>
        <v>0</v>
      </c>
    </row>
    <row r="38" spans="1:30" ht="12">
      <c r="A38" s="115" t="s">
        <v>1633</v>
      </c>
      <c r="B38" s="117"/>
      <c r="C38" s="117"/>
      <c r="D38" s="117"/>
      <c r="E38" s="120">
        <f>SUM(B38:D38)</f>
        <v>0</v>
      </c>
      <c r="F38" s="117"/>
      <c r="G38" s="117"/>
      <c r="H38" s="120">
        <f>SUM(F38:G38)</f>
        <v>0</v>
      </c>
      <c r="I38" s="117"/>
      <c r="J38" s="117"/>
      <c r="K38" s="117"/>
      <c r="L38" s="117"/>
      <c r="M38" s="117"/>
      <c r="N38" s="120">
        <f>SUM(I38:M38)</f>
        <v>0</v>
      </c>
      <c r="O38" s="117"/>
      <c r="P38" s="117"/>
      <c r="Q38" s="117"/>
      <c r="R38" s="117"/>
      <c r="S38" s="117"/>
      <c r="T38" s="117"/>
      <c r="U38" s="120">
        <f>SUM(O38:T38)</f>
        <v>0</v>
      </c>
      <c r="V38" s="117"/>
      <c r="W38" s="117"/>
      <c r="X38" s="117"/>
      <c r="Y38" s="120">
        <f>SUM(V38:X38)</f>
        <v>0</v>
      </c>
      <c r="Z38" s="117"/>
      <c r="AA38" s="117"/>
      <c r="AB38" s="117"/>
      <c r="AC38" s="120">
        <f>SUM(Z38:AB38)</f>
        <v>0</v>
      </c>
      <c r="AD38" s="131">
        <f>E38+H38+N38+U38+Y38+AC38</f>
        <v>0</v>
      </c>
    </row>
    <row r="39" spans="1:30" ht="12">
      <c r="A39" s="115"/>
      <c r="B39" s="117"/>
      <c r="C39" s="117"/>
      <c r="D39" s="117"/>
      <c r="E39" s="120">
        <f>SUM(B39:D39)</f>
        <v>0</v>
      </c>
      <c r="F39" s="117"/>
      <c r="G39" s="117"/>
      <c r="H39" s="120">
        <f>SUM(F39:G39)</f>
        <v>0</v>
      </c>
      <c r="I39" s="117"/>
      <c r="J39" s="117"/>
      <c r="K39" s="117"/>
      <c r="L39" s="117"/>
      <c r="M39" s="117"/>
      <c r="N39" s="120">
        <f>SUM(I39:M39)</f>
        <v>0</v>
      </c>
      <c r="O39" s="117"/>
      <c r="P39" s="117"/>
      <c r="Q39" s="117"/>
      <c r="R39" s="117"/>
      <c r="S39" s="117"/>
      <c r="T39" s="117"/>
      <c r="U39" s="120">
        <f>SUM(O39:T39)</f>
        <v>0</v>
      </c>
      <c r="V39" s="117"/>
      <c r="W39" s="117"/>
      <c r="X39" s="117"/>
      <c r="Y39" s="120">
        <f>SUM(V39:X39)</f>
        <v>0</v>
      </c>
      <c r="Z39" s="117"/>
      <c r="AA39" s="117"/>
      <c r="AB39" s="117"/>
      <c r="AC39" s="120">
        <f>SUM(Z39:AB39)</f>
        <v>0</v>
      </c>
      <c r="AD39" s="131">
        <f>E39+H39+N39+U39+Y39+AC39</f>
        <v>0</v>
      </c>
    </row>
    <row r="40" spans="1:30" ht="12">
      <c r="A40" s="121" t="s">
        <v>1634</v>
      </c>
      <c r="B40" s="122">
        <f aca="true" t="shared" si="15" ref="B40:AD40">SUM(B37:B39)</f>
        <v>0</v>
      </c>
      <c r="C40" s="122"/>
      <c r="D40" s="122">
        <f t="shared" si="15"/>
        <v>0</v>
      </c>
      <c r="E40" s="122">
        <f t="shared" si="15"/>
        <v>0</v>
      </c>
      <c r="F40" s="122">
        <f t="shared" si="15"/>
        <v>0</v>
      </c>
      <c r="G40" s="122">
        <f t="shared" si="15"/>
        <v>0</v>
      </c>
      <c r="H40" s="122">
        <f t="shared" si="15"/>
        <v>0</v>
      </c>
      <c r="I40" s="122">
        <f t="shared" si="15"/>
        <v>0</v>
      </c>
      <c r="J40" s="122">
        <f t="shared" si="15"/>
        <v>0</v>
      </c>
      <c r="K40" s="122">
        <f t="shared" si="15"/>
        <v>0</v>
      </c>
      <c r="L40" s="122">
        <f t="shared" si="15"/>
        <v>0</v>
      </c>
      <c r="M40" s="122">
        <f t="shared" si="15"/>
        <v>0</v>
      </c>
      <c r="N40" s="122">
        <f t="shared" si="15"/>
        <v>0</v>
      </c>
      <c r="O40" s="122">
        <f t="shared" si="15"/>
        <v>0</v>
      </c>
      <c r="P40" s="122">
        <f t="shared" si="15"/>
        <v>0</v>
      </c>
      <c r="Q40" s="122">
        <f t="shared" si="15"/>
        <v>0</v>
      </c>
      <c r="R40" s="122">
        <f t="shared" si="15"/>
        <v>0</v>
      </c>
      <c r="S40" s="122">
        <f t="shared" si="15"/>
        <v>0</v>
      </c>
      <c r="T40" s="122">
        <f t="shared" si="15"/>
        <v>0</v>
      </c>
      <c r="U40" s="122">
        <f t="shared" si="15"/>
        <v>0</v>
      </c>
      <c r="V40" s="122">
        <f t="shared" si="15"/>
        <v>0</v>
      </c>
      <c r="W40" s="122">
        <f t="shared" si="15"/>
        <v>0</v>
      </c>
      <c r="X40" s="122">
        <f t="shared" si="15"/>
        <v>0</v>
      </c>
      <c r="Y40" s="122">
        <f t="shared" si="15"/>
        <v>0</v>
      </c>
      <c r="Z40" s="122">
        <f t="shared" si="15"/>
        <v>0</v>
      </c>
      <c r="AA40" s="122">
        <f t="shared" si="15"/>
        <v>0</v>
      </c>
      <c r="AB40" s="122">
        <f t="shared" si="15"/>
        <v>0</v>
      </c>
      <c r="AC40" s="122">
        <f t="shared" si="15"/>
        <v>0</v>
      </c>
      <c r="AD40" s="122">
        <f t="shared" si="15"/>
        <v>0</v>
      </c>
    </row>
    <row r="41" spans="1:30" ht="12">
      <c r="A41" s="116" t="s">
        <v>1635</v>
      </c>
      <c r="B41" s="118">
        <f aca="true" t="shared" si="16" ref="B41:AD41">B35+B36+B40</f>
        <v>0</v>
      </c>
      <c r="C41" s="118"/>
      <c r="D41" s="118">
        <f t="shared" si="16"/>
        <v>0</v>
      </c>
      <c r="E41" s="118">
        <f t="shared" si="16"/>
        <v>0</v>
      </c>
      <c r="F41" s="118">
        <f t="shared" si="16"/>
        <v>0</v>
      </c>
      <c r="G41" s="118">
        <f t="shared" si="16"/>
        <v>0</v>
      </c>
      <c r="H41" s="118">
        <f t="shared" si="16"/>
        <v>0</v>
      </c>
      <c r="I41" s="118">
        <f t="shared" si="16"/>
        <v>0</v>
      </c>
      <c r="J41" s="118">
        <f t="shared" si="16"/>
        <v>0</v>
      </c>
      <c r="K41" s="118">
        <f t="shared" si="16"/>
        <v>0</v>
      </c>
      <c r="L41" s="118">
        <f t="shared" si="16"/>
        <v>0</v>
      </c>
      <c r="M41" s="118">
        <f t="shared" si="16"/>
        <v>0</v>
      </c>
      <c r="N41" s="118">
        <f t="shared" si="16"/>
        <v>0</v>
      </c>
      <c r="O41" s="118">
        <f t="shared" si="16"/>
        <v>0</v>
      </c>
      <c r="P41" s="118">
        <f t="shared" si="16"/>
        <v>0</v>
      </c>
      <c r="Q41" s="118">
        <f t="shared" si="16"/>
        <v>0</v>
      </c>
      <c r="R41" s="118">
        <f t="shared" si="16"/>
        <v>0</v>
      </c>
      <c r="S41" s="118">
        <f t="shared" si="16"/>
        <v>0</v>
      </c>
      <c r="T41" s="118">
        <f t="shared" si="16"/>
        <v>0</v>
      </c>
      <c r="U41" s="118">
        <f t="shared" si="16"/>
        <v>0</v>
      </c>
      <c r="V41" s="118">
        <f t="shared" si="16"/>
        <v>0</v>
      </c>
      <c r="W41" s="118">
        <f t="shared" si="16"/>
        <v>0</v>
      </c>
      <c r="X41" s="118">
        <f t="shared" si="16"/>
        <v>0</v>
      </c>
      <c r="Y41" s="118">
        <f t="shared" si="16"/>
        <v>0</v>
      </c>
      <c r="Z41" s="118">
        <f t="shared" si="16"/>
        <v>0</v>
      </c>
      <c r="AA41" s="118">
        <f t="shared" si="16"/>
        <v>0</v>
      </c>
      <c r="AB41" s="118">
        <f t="shared" si="16"/>
        <v>0</v>
      </c>
      <c r="AC41" s="118">
        <f t="shared" si="16"/>
        <v>0</v>
      </c>
      <c r="AD41" s="118">
        <f t="shared" si="16"/>
        <v>0</v>
      </c>
    </row>
    <row r="42" spans="1:30" ht="12">
      <c r="A42" s="115" t="s">
        <v>952</v>
      </c>
      <c r="B42" s="117">
        <f>bev!$D$19</f>
        <v>0</v>
      </c>
      <c r="C42" s="117"/>
      <c r="D42" s="117"/>
      <c r="E42" s="120">
        <f>SUM(B42:D42)</f>
        <v>0</v>
      </c>
      <c r="F42" s="117"/>
      <c r="G42" s="117"/>
      <c r="H42" s="120">
        <f>SUM(F42:G42)</f>
        <v>0</v>
      </c>
      <c r="I42" s="117"/>
      <c r="J42" s="117"/>
      <c r="K42" s="117"/>
      <c r="L42" s="117"/>
      <c r="M42" s="117"/>
      <c r="N42" s="120">
        <f>SUM(I42:M42)</f>
        <v>0</v>
      </c>
      <c r="O42" s="117"/>
      <c r="P42" s="117"/>
      <c r="Q42" s="117"/>
      <c r="R42" s="117"/>
      <c r="S42" s="117"/>
      <c r="T42" s="117"/>
      <c r="U42" s="120">
        <f>SUM(O42:T42)</f>
        <v>0</v>
      </c>
      <c r="V42" s="117"/>
      <c r="W42" s="117"/>
      <c r="X42" s="117"/>
      <c r="Y42" s="120">
        <f>SUM(V42:X42)</f>
        <v>0</v>
      </c>
      <c r="Z42" s="117"/>
      <c r="AA42" s="117"/>
      <c r="AB42" s="117"/>
      <c r="AC42" s="120">
        <f>SUM(Z42:AB42)</f>
        <v>0</v>
      </c>
      <c r="AD42" s="131">
        <f aca="true" t="shared" si="17" ref="AD42:AD88">E42+H42+N42+U42+Y42+AC42</f>
        <v>0</v>
      </c>
    </row>
    <row r="43" spans="1:30" ht="12">
      <c r="A43" s="115" t="s">
        <v>953</v>
      </c>
      <c r="B43" s="117">
        <f>bev!$D$20</f>
        <v>0</v>
      </c>
      <c r="C43" s="117"/>
      <c r="D43" s="117"/>
      <c r="E43" s="120">
        <f>SUM(B43:D43)</f>
        <v>0</v>
      </c>
      <c r="F43" s="117"/>
      <c r="G43" s="117"/>
      <c r="H43" s="120">
        <f>SUM(F43:G43)</f>
        <v>0</v>
      </c>
      <c r="I43" s="117"/>
      <c r="J43" s="117"/>
      <c r="K43" s="117"/>
      <c r="L43" s="117"/>
      <c r="M43" s="117"/>
      <c r="N43" s="120">
        <f>SUM(I43:M43)</f>
        <v>0</v>
      </c>
      <c r="O43" s="117"/>
      <c r="P43" s="117"/>
      <c r="Q43" s="117"/>
      <c r="R43" s="117"/>
      <c r="S43" s="117"/>
      <c r="T43" s="117"/>
      <c r="U43" s="120">
        <f>SUM(O43:T43)</f>
        <v>0</v>
      </c>
      <c r="V43" s="117"/>
      <c r="W43" s="117"/>
      <c r="X43" s="117"/>
      <c r="Y43" s="120">
        <f>SUM(V43:X43)</f>
        <v>0</v>
      </c>
      <c r="Z43" s="117"/>
      <c r="AA43" s="117"/>
      <c r="AB43" s="117"/>
      <c r="AC43" s="120">
        <f>SUM(Z43:AB43)</f>
        <v>0</v>
      </c>
      <c r="AD43" s="131">
        <f t="shared" si="17"/>
        <v>0</v>
      </c>
    </row>
    <row r="44" spans="1:30" ht="12">
      <c r="A44" s="115"/>
      <c r="B44" s="117"/>
      <c r="C44" s="117"/>
      <c r="D44" s="117"/>
      <c r="E44" s="120">
        <f>SUM(B44:D44)</f>
        <v>0</v>
      </c>
      <c r="F44" s="117"/>
      <c r="G44" s="117"/>
      <c r="H44" s="120">
        <f>SUM(F44:G44)</f>
        <v>0</v>
      </c>
      <c r="I44" s="117"/>
      <c r="J44" s="117"/>
      <c r="K44" s="117"/>
      <c r="L44" s="117"/>
      <c r="M44" s="117"/>
      <c r="N44" s="120">
        <f>SUM(I44:M44)</f>
        <v>0</v>
      </c>
      <c r="O44" s="117"/>
      <c r="P44" s="117"/>
      <c r="Q44" s="117"/>
      <c r="R44" s="117"/>
      <c r="S44" s="117"/>
      <c r="T44" s="117"/>
      <c r="U44" s="120">
        <f>SUM(O44:T44)</f>
        <v>0</v>
      </c>
      <c r="V44" s="117"/>
      <c r="W44" s="117"/>
      <c r="X44" s="117"/>
      <c r="Y44" s="120">
        <f>SUM(V44:X44)</f>
        <v>0</v>
      </c>
      <c r="Z44" s="117"/>
      <c r="AA44" s="117"/>
      <c r="AB44" s="117"/>
      <c r="AC44" s="120">
        <f>SUM(Z44:AB44)</f>
        <v>0</v>
      </c>
      <c r="AD44" s="131">
        <f t="shared" si="17"/>
        <v>0</v>
      </c>
    </row>
    <row r="45" spans="1:30" ht="12">
      <c r="A45" s="116" t="s">
        <v>1636</v>
      </c>
      <c r="B45" s="118">
        <f aca="true" t="shared" si="18" ref="B45:AD45">SUM(B42:B44)</f>
        <v>0</v>
      </c>
      <c r="C45" s="118"/>
      <c r="D45" s="118">
        <f t="shared" si="18"/>
        <v>0</v>
      </c>
      <c r="E45" s="118">
        <f t="shared" si="18"/>
        <v>0</v>
      </c>
      <c r="F45" s="118">
        <f t="shared" si="18"/>
        <v>0</v>
      </c>
      <c r="G45" s="118">
        <f t="shared" si="18"/>
        <v>0</v>
      </c>
      <c r="H45" s="118">
        <f t="shared" si="18"/>
        <v>0</v>
      </c>
      <c r="I45" s="118">
        <f t="shared" si="18"/>
        <v>0</v>
      </c>
      <c r="J45" s="118">
        <f t="shared" si="18"/>
        <v>0</v>
      </c>
      <c r="K45" s="118">
        <f t="shared" si="18"/>
        <v>0</v>
      </c>
      <c r="L45" s="118">
        <f t="shared" si="18"/>
        <v>0</v>
      </c>
      <c r="M45" s="118">
        <f t="shared" si="18"/>
        <v>0</v>
      </c>
      <c r="N45" s="118">
        <f t="shared" si="18"/>
        <v>0</v>
      </c>
      <c r="O45" s="118">
        <f t="shared" si="18"/>
        <v>0</v>
      </c>
      <c r="P45" s="118">
        <f t="shared" si="18"/>
        <v>0</v>
      </c>
      <c r="Q45" s="118">
        <f t="shared" si="18"/>
        <v>0</v>
      </c>
      <c r="R45" s="118">
        <f t="shared" si="18"/>
        <v>0</v>
      </c>
      <c r="S45" s="118">
        <f t="shared" si="18"/>
        <v>0</v>
      </c>
      <c r="T45" s="118">
        <f t="shared" si="18"/>
        <v>0</v>
      </c>
      <c r="U45" s="118">
        <f t="shared" si="18"/>
        <v>0</v>
      </c>
      <c r="V45" s="118">
        <f t="shared" si="18"/>
        <v>0</v>
      </c>
      <c r="W45" s="118">
        <f t="shared" si="18"/>
        <v>0</v>
      </c>
      <c r="X45" s="118">
        <f t="shared" si="18"/>
        <v>0</v>
      </c>
      <c r="Y45" s="118">
        <f t="shared" si="18"/>
        <v>0</v>
      </c>
      <c r="Z45" s="118">
        <f t="shared" si="18"/>
        <v>0</v>
      </c>
      <c r="AA45" s="118">
        <f t="shared" si="18"/>
        <v>0</v>
      </c>
      <c r="AB45" s="118">
        <f t="shared" si="18"/>
        <v>0</v>
      </c>
      <c r="AC45" s="118">
        <f t="shared" si="18"/>
        <v>0</v>
      </c>
      <c r="AD45" s="118">
        <f t="shared" si="18"/>
        <v>0</v>
      </c>
    </row>
    <row r="46" spans="1:30" ht="12">
      <c r="A46" s="115" t="s">
        <v>1637</v>
      </c>
      <c r="B46" s="117">
        <f>bev!$D$12</f>
        <v>10</v>
      </c>
      <c r="C46" s="117"/>
      <c r="D46" s="117"/>
      <c r="E46" s="120">
        <f>SUM(B46:D46)</f>
        <v>10</v>
      </c>
      <c r="F46" s="117"/>
      <c r="G46" s="117"/>
      <c r="H46" s="120">
        <f>SUM(F46:G46)</f>
        <v>0</v>
      </c>
      <c r="I46" s="117"/>
      <c r="J46" s="117"/>
      <c r="K46" s="117"/>
      <c r="L46" s="117"/>
      <c r="M46" s="117"/>
      <c r="N46" s="120">
        <f>SUM(I46:M46)</f>
        <v>0</v>
      </c>
      <c r="O46" s="117"/>
      <c r="P46" s="117"/>
      <c r="Q46" s="117"/>
      <c r="R46" s="117"/>
      <c r="S46" s="117"/>
      <c r="T46" s="117"/>
      <c r="U46" s="120">
        <f>SUM(O46:T46)</f>
        <v>0</v>
      </c>
      <c r="V46" s="117"/>
      <c r="W46" s="117"/>
      <c r="X46" s="117"/>
      <c r="Y46" s="120">
        <f>SUM(V46:X46)</f>
        <v>0</v>
      </c>
      <c r="Z46" s="117"/>
      <c r="AA46" s="117"/>
      <c r="AB46" s="117"/>
      <c r="AC46" s="120">
        <f>SUM(Z46:AB46)</f>
        <v>0</v>
      </c>
      <c r="AD46" s="131">
        <f t="shared" si="17"/>
        <v>10</v>
      </c>
    </row>
    <row r="47" spans="1:30" ht="12">
      <c r="A47" s="115"/>
      <c r="B47" s="117"/>
      <c r="C47" s="117"/>
      <c r="D47" s="117"/>
      <c r="E47" s="120">
        <f>SUM(B47:D47)</f>
        <v>0</v>
      </c>
      <c r="F47" s="117"/>
      <c r="G47" s="117"/>
      <c r="H47" s="120">
        <f>SUM(F47:G47)</f>
        <v>0</v>
      </c>
      <c r="I47" s="117"/>
      <c r="J47" s="117"/>
      <c r="K47" s="117"/>
      <c r="L47" s="117"/>
      <c r="M47" s="117"/>
      <c r="N47" s="120">
        <f>SUM(I47:M47)</f>
        <v>0</v>
      </c>
      <c r="O47" s="117"/>
      <c r="P47" s="117"/>
      <c r="Q47" s="117"/>
      <c r="R47" s="117"/>
      <c r="S47" s="117"/>
      <c r="T47" s="117"/>
      <c r="U47" s="120">
        <f>SUM(O47:T47)</f>
        <v>0</v>
      </c>
      <c r="V47" s="117"/>
      <c r="W47" s="117"/>
      <c r="X47" s="117"/>
      <c r="Y47" s="120">
        <f>SUM(V47:X47)</f>
        <v>0</v>
      </c>
      <c r="Z47" s="117"/>
      <c r="AA47" s="117"/>
      <c r="AB47" s="117"/>
      <c r="AC47" s="120">
        <f>SUM(Z47:AB47)</f>
        <v>0</v>
      </c>
      <c r="AD47" s="131">
        <f t="shared" si="17"/>
        <v>0</v>
      </c>
    </row>
    <row r="48" spans="1:30" ht="12">
      <c r="A48" s="115"/>
      <c r="B48" s="117"/>
      <c r="C48" s="117"/>
      <c r="D48" s="117"/>
      <c r="E48" s="120">
        <f>SUM(B48:D48)</f>
        <v>0</v>
      </c>
      <c r="F48" s="117"/>
      <c r="G48" s="117"/>
      <c r="H48" s="120">
        <f>SUM(F48:G48)</f>
        <v>0</v>
      </c>
      <c r="I48" s="117"/>
      <c r="J48" s="117"/>
      <c r="K48" s="117"/>
      <c r="L48" s="117"/>
      <c r="M48" s="117"/>
      <c r="N48" s="120">
        <f>SUM(I48:M48)</f>
        <v>0</v>
      </c>
      <c r="O48" s="117"/>
      <c r="P48" s="117"/>
      <c r="Q48" s="117"/>
      <c r="R48" s="117"/>
      <c r="S48" s="117"/>
      <c r="T48" s="117"/>
      <c r="U48" s="120">
        <f>SUM(O48:T48)</f>
        <v>0</v>
      </c>
      <c r="V48" s="117"/>
      <c r="W48" s="117"/>
      <c r="X48" s="117"/>
      <c r="Y48" s="120">
        <f>SUM(V48:X48)</f>
        <v>0</v>
      </c>
      <c r="Z48" s="117"/>
      <c r="AA48" s="117"/>
      <c r="AB48" s="117"/>
      <c r="AC48" s="120">
        <f>SUM(Z48:AB48)</f>
        <v>0</v>
      </c>
      <c r="AD48" s="131">
        <f t="shared" si="17"/>
        <v>0</v>
      </c>
    </row>
    <row r="49" spans="1:30" ht="12">
      <c r="A49" s="116" t="s">
        <v>1638</v>
      </c>
      <c r="B49" s="118">
        <f aca="true" t="shared" si="19" ref="B49:AD49">SUM(B46:B48)</f>
        <v>10</v>
      </c>
      <c r="C49" s="118"/>
      <c r="D49" s="118">
        <f t="shared" si="19"/>
        <v>0</v>
      </c>
      <c r="E49" s="118">
        <f t="shared" si="19"/>
        <v>10</v>
      </c>
      <c r="F49" s="118">
        <f t="shared" si="19"/>
        <v>0</v>
      </c>
      <c r="G49" s="118">
        <f t="shared" si="19"/>
        <v>0</v>
      </c>
      <c r="H49" s="118">
        <f t="shared" si="19"/>
        <v>0</v>
      </c>
      <c r="I49" s="118">
        <f t="shared" si="19"/>
        <v>0</v>
      </c>
      <c r="J49" s="118">
        <f t="shared" si="19"/>
        <v>0</v>
      </c>
      <c r="K49" s="118">
        <f t="shared" si="19"/>
        <v>0</v>
      </c>
      <c r="L49" s="118">
        <f t="shared" si="19"/>
        <v>0</v>
      </c>
      <c r="M49" s="118">
        <f t="shared" si="19"/>
        <v>0</v>
      </c>
      <c r="N49" s="118">
        <f t="shared" si="19"/>
        <v>0</v>
      </c>
      <c r="O49" s="118">
        <f t="shared" si="19"/>
        <v>0</v>
      </c>
      <c r="P49" s="118">
        <f t="shared" si="19"/>
        <v>0</v>
      </c>
      <c r="Q49" s="118">
        <f t="shared" si="19"/>
        <v>0</v>
      </c>
      <c r="R49" s="118">
        <f t="shared" si="19"/>
        <v>0</v>
      </c>
      <c r="S49" s="118">
        <f t="shared" si="19"/>
        <v>0</v>
      </c>
      <c r="T49" s="118">
        <f t="shared" si="19"/>
        <v>0</v>
      </c>
      <c r="U49" s="118">
        <f t="shared" si="19"/>
        <v>0</v>
      </c>
      <c r="V49" s="118">
        <f t="shared" si="19"/>
        <v>0</v>
      </c>
      <c r="W49" s="118">
        <f t="shared" si="19"/>
        <v>0</v>
      </c>
      <c r="X49" s="118">
        <f t="shared" si="19"/>
        <v>0</v>
      </c>
      <c r="Y49" s="118">
        <f t="shared" si="19"/>
        <v>0</v>
      </c>
      <c r="Z49" s="118">
        <f t="shared" si="19"/>
        <v>0</v>
      </c>
      <c r="AA49" s="118">
        <f t="shared" si="19"/>
        <v>0</v>
      </c>
      <c r="AB49" s="118">
        <f t="shared" si="19"/>
        <v>0</v>
      </c>
      <c r="AC49" s="118">
        <f t="shared" si="19"/>
        <v>0</v>
      </c>
      <c r="AD49" s="118">
        <f t="shared" si="19"/>
        <v>10</v>
      </c>
    </row>
    <row r="50" spans="1:30" ht="12">
      <c r="A50" s="127" t="s">
        <v>1639</v>
      </c>
      <c r="B50" s="128"/>
      <c r="C50" s="128"/>
      <c r="D50" s="117"/>
      <c r="E50" s="120">
        <f>SUM(B50:D50)</f>
        <v>0</v>
      </c>
      <c r="F50" s="117"/>
      <c r="G50" s="117"/>
      <c r="H50" s="120">
        <f>SUM(F50:G50)</f>
        <v>0</v>
      </c>
      <c r="I50" s="117"/>
      <c r="J50" s="117"/>
      <c r="K50" s="117"/>
      <c r="L50" s="117"/>
      <c r="M50" s="117"/>
      <c r="N50" s="120">
        <f>SUM(I50:M50)</f>
        <v>0</v>
      </c>
      <c r="O50" s="117"/>
      <c r="P50" s="117"/>
      <c r="Q50" s="117"/>
      <c r="R50" s="117"/>
      <c r="S50" s="117"/>
      <c r="T50" s="117">
        <f>bev!$D$136</f>
        <v>193</v>
      </c>
      <c r="U50" s="120">
        <f>SUM(O50:T50)</f>
        <v>193</v>
      </c>
      <c r="V50" s="117"/>
      <c r="W50" s="117"/>
      <c r="X50" s="117"/>
      <c r="Y50" s="120">
        <f>SUM(V50:X50)</f>
        <v>0</v>
      </c>
      <c r="Z50" s="117"/>
      <c r="AA50" s="117"/>
      <c r="AB50" s="117"/>
      <c r="AC50" s="120">
        <f>SUM(Z50:AB50)</f>
        <v>0</v>
      </c>
      <c r="AD50" s="131">
        <f t="shared" si="17"/>
        <v>193</v>
      </c>
    </row>
    <row r="51" spans="1:30" ht="12">
      <c r="A51" s="127" t="s">
        <v>1640</v>
      </c>
      <c r="B51" s="128"/>
      <c r="C51" s="128"/>
      <c r="D51" s="117">
        <f>bev!D16</f>
        <v>1592</v>
      </c>
      <c r="E51" s="120">
        <f>SUM(B51:D51)</f>
        <v>1592</v>
      </c>
      <c r="F51" s="117"/>
      <c r="G51" s="117"/>
      <c r="H51" s="120">
        <f>SUM(F51:G51)</f>
        <v>0</v>
      </c>
      <c r="I51" s="117"/>
      <c r="J51" s="117"/>
      <c r="K51" s="117"/>
      <c r="L51" s="117"/>
      <c r="M51" s="117"/>
      <c r="N51" s="120">
        <f>SUM(I51:M51)</f>
        <v>0</v>
      </c>
      <c r="O51" s="117"/>
      <c r="P51" s="117"/>
      <c r="Q51" s="117"/>
      <c r="R51" s="117"/>
      <c r="S51" s="117"/>
      <c r="T51" s="117"/>
      <c r="U51" s="120">
        <f>SUM(O51:T51)</f>
        <v>0</v>
      </c>
      <c r="V51" s="117"/>
      <c r="W51" s="117"/>
      <c r="X51" s="117"/>
      <c r="Y51" s="120">
        <f>SUM(V51:X51)</f>
        <v>0</v>
      </c>
      <c r="Z51" s="117"/>
      <c r="AA51" s="117"/>
      <c r="AB51" s="117"/>
      <c r="AC51" s="120">
        <f>SUM(Z51:AB51)</f>
        <v>0</v>
      </c>
      <c r="AD51" s="131">
        <f t="shared" si="17"/>
        <v>1592</v>
      </c>
    </row>
    <row r="52" spans="1:30" ht="12">
      <c r="A52" s="127" t="s">
        <v>1641</v>
      </c>
      <c r="B52" s="128"/>
      <c r="C52" s="128"/>
      <c r="D52" s="117"/>
      <c r="E52" s="120">
        <f>SUM(B52:D52)</f>
        <v>0</v>
      </c>
      <c r="F52" s="117"/>
      <c r="G52" s="117"/>
      <c r="H52" s="120">
        <f>SUM(F52:G52)</f>
        <v>0</v>
      </c>
      <c r="I52" s="117"/>
      <c r="J52" s="117"/>
      <c r="K52" s="117"/>
      <c r="L52" s="117"/>
      <c r="M52" s="117"/>
      <c r="N52" s="120">
        <f>SUM(I52:M52)</f>
        <v>0</v>
      </c>
      <c r="O52" s="117"/>
      <c r="P52" s="117"/>
      <c r="Q52" s="117">
        <f>bev!$D$120</f>
        <v>3490</v>
      </c>
      <c r="R52" s="117"/>
      <c r="S52" s="117"/>
      <c r="T52" s="117"/>
      <c r="U52" s="120">
        <f>SUM(O52:T52)</f>
        <v>3490</v>
      </c>
      <c r="V52" s="117"/>
      <c r="W52" s="117"/>
      <c r="X52" s="117"/>
      <c r="Y52" s="120">
        <f>SUM(V52:X52)</f>
        <v>0</v>
      </c>
      <c r="Z52" s="117"/>
      <c r="AA52" s="117"/>
      <c r="AB52" s="117"/>
      <c r="AC52" s="120">
        <f>SUM(Z52:AB52)</f>
        <v>0</v>
      </c>
      <c r="AD52" s="131">
        <f t="shared" si="17"/>
        <v>3490</v>
      </c>
    </row>
    <row r="53" spans="1:30" ht="12">
      <c r="A53" s="127" t="s">
        <v>1642</v>
      </c>
      <c r="B53" s="128"/>
      <c r="C53" s="128"/>
      <c r="D53" s="117"/>
      <c r="E53" s="120">
        <f>SUM(B53:D53)</f>
        <v>0</v>
      </c>
      <c r="F53" s="117"/>
      <c r="G53" s="117"/>
      <c r="H53" s="120">
        <f>SUM(F53:G53)</f>
        <v>0</v>
      </c>
      <c r="I53" s="117"/>
      <c r="J53" s="117"/>
      <c r="K53" s="117"/>
      <c r="L53" s="117"/>
      <c r="M53" s="117"/>
      <c r="N53" s="120">
        <f>SUM(I53:M53)</f>
        <v>0</v>
      </c>
      <c r="O53" s="117">
        <f>bev!$D$105</f>
        <v>0</v>
      </c>
      <c r="P53" s="117"/>
      <c r="Q53" s="117"/>
      <c r="R53" s="117"/>
      <c r="S53" s="117"/>
      <c r="T53" s="117"/>
      <c r="U53" s="120">
        <f>SUM(O53:T53)</f>
        <v>0</v>
      </c>
      <c r="V53" s="117"/>
      <c r="W53" s="117"/>
      <c r="X53" s="117"/>
      <c r="Y53" s="120">
        <f>SUM(V53:X53)</f>
        <v>0</v>
      </c>
      <c r="Z53" s="117"/>
      <c r="AA53" s="117"/>
      <c r="AB53" s="117"/>
      <c r="AC53" s="120">
        <f>SUM(Z53:AB53)</f>
        <v>0</v>
      </c>
      <c r="AD53" s="131">
        <f t="shared" si="17"/>
        <v>0</v>
      </c>
    </row>
    <row r="54" spans="1:30" ht="12">
      <c r="A54" s="127" t="s">
        <v>0</v>
      </c>
      <c r="B54" s="128"/>
      <c r="C54" s="128"/>
      <c r="D54" s="117"/>
      <c r="E54" s="120">
        <f>SUM(B54:D54)</f>
        <v>0</v>
      </c>
      <c r="F54" s="117"/>
      <c r="G54" s="117"/>
      <c r="H54" s="120">
        <f>SUM(F54:G54)</f>
        <v>0</v>
      </c>
      <c r="I54" s="117"/>
      <c r="J54" s="117"/>
      <c r="K54" s="117"/>
      <c r="L54" s="117"/>
      <c r="M54" s="117"/>
      <c r="N54" s="120">
        <f>SUM(I54:M54)</f>
        <v>0</v>
      </c>
      <c r="O54" s="117"/>
      <c r="P54" s="117"/>
      <c r="Q54" s="117"/>
      <c r="R54" s="117"/>
      <c r="S54" s="117"/>
      <c r="T54" s="117"/>
      <c r="U54" s="120">
        <f>SUM(O54:T54)</f>
        <v>0</v>
      </c>
      <c r="V54" s="117"/>
      <c r="W54" s="117"/>
      <c r="X54" s="117"/>
      <c r="Y54" s="120">
        <f>SUM(V54:X54)</f>
        <v>0</v>
      </c>
      <c r="Z54" s="117"/>
      <c r="AA54" s="117"/>
      <c r="AB54" s="117"/>
      <c r="AC54" s="120">
        <f>SUM(Z54:AB54)</f>
        <v>0</v>
      </c>
      <c r="AD54" s="131">
        <f t="shared" si="17"/>
        <v>0</v>
      </c>
    </row>
    <row r="55" spans="1:30" ht="12">
      <c r="A55" s="116" t="s">
        <v>15</v>
      </c>
      <c r="B55" s="118">
        <f aca="true" t="shared" si="20" ref="B55:AD55">SUM(B50:B54)</f>
        <v>0</v>
      </c>
      <c r="C55" s="118"/>
      <c r="D55" s="118">
        <f t="shared" si="20"/>
        <v>1592</v>
      </c>
      <c r="E55" s="118">
        <f t="shared" si="20"/>
        <v>1592</v>
      </c>
      <c r="F55" s="118">
        <f t="shared" si="20"/>
        <v>0</v>
      </c>
      <c r="G55" s="118">
        <f t="shared" si="20"/>
        <v>0</v>
      </c>
      <c r="H55" s="118">
        <f t="shared" si="20"/>
        <v>0</v>
      </c>
      <c r="I55" s="118">
        <f t="shared" si="20"/>
        <v>0</v>
      </c>
      <c r="J55" s="118">
        <f t="shared" si="20"/>
        <v>0</v>
      </c>
      <c r="K55" s="118">
        <f t="shared" si="20"/>
        <v>0</v>
      </c>
      <c r="L55" s="118">
        <f t="shared" si="20"/>
        <v>0</v>
      </c>
      <c r="M55" s="118">
        <f t="shared" si="20"/>
        <v>0</v>
      </c>
      <c r="N55" s="118">
        <f t="shared" si="20"/>
        <v>0</v>
      </c>
      <c r="O55" s="118">
        <f t="shared" si="20"/>
        <v>0</v>
      </c>
      <c r="P55" s="118">
        <f t="shared" si="20"/>
        <v>0</v>
      </c>
      <c r="Q55" s="118">
        <f t="shared" si="20"/>
        <v>3490</v>
      </c>
      <c r="R55" s="118">
        <f t="shared" si="20"/>
        <v>0</v>
      </c>
      <c r="S55" s="118">
        <f t="shared" si="20"/>
        <v>0</v>
      </c>
      <c r="T55" s="118">
        <f t="shared" si="20"/>
        <v>193</v>
      </c>
      <c r="U55" s="118">
        <f t="shared" si="20"/>
        <v>3683</v>
      </c>
      <c r="V55" s="118">
        <f t="shared" si="20"/>
        <v>0</v>
      </c>
      <c r="W55" s="118">
        <f t="shared" si="20"/>
        <v>0</v>
      </c>
      <c r="X55" s="118">
        <f t="shared" si="20"/>
        <v>0</v>
      </c>
      <c r="Y55" s="118">
        <f t="shared" si="20"/>
        <v>0</v>
      </c>
      <c r="Z55" s="118">
        <f t="shared" si="20"/>
        <v>0</v>
      </c>
      <c r="AA55" s="118">
        <f t="shared" si="20"/>
        <v>0</v>
      </c>
      <c r="AB55" s="118">
        <f t="shared" si="20"/>
        <v>0</v>
      </c>
      <c r="AC55" s="118">
        <f t="shared" si="20"/>
        <v>0</v>
      </c>
      <c r="AD55" s="118">
        <f t="shared" si="20"/>
        <v>5275</v>
      </c>
    </row>
    <row r="56" spans="1:30" ht="12">
      <c r="A56" s="115" t="s">
        <v>16</v>
      </c>
      <c r="B56" s="117"/>
      <c r="C56" s="117"/>
      <c r="D56" s="117"/>
      <c r="E56" s="120">
        <f>SUM(B56:D56)</f>
        <v>0</v>
      </c>
      <c r="F56" s="117"/>
      <c r="G56" s="117"/>
      <c r="H56" s="120">
        <f>SUM(F56:G56)</f>
        <v>0</v>
      </c>
      <c r="I56" s="117"/>
      <c r="J56" s="117"/>
      <c r="K56" s="117"/>
      <c r="L56" s="117"/>
      <c r="M56" s="117"/>
      <c r="N56" s="120">
        <f>SUM(I56:M56)</f>
        <v>0</v>
      </c>
      <c r="O56" s="117"/>
      <c r="P56" s="117"/>
      <c r="Q56" s="117"/>
      <c r="R56" s="117"/>
      <c r="S56" s="117"/>
      <c r="T56" s="117"/>
      <c r="U56" s="120">
        <f>SUM(O56:T56)</f>
        <v>0</v>
      </c>
      <c r="V56" s="117"/>
      <c r="W56" s="117"/>
      <c r="X56" s="117"/>
      <c r="Y56" s="120">
        <f>SUM(V56:X56)</f>
        <v>0</v>
      </c>
      <c r="Z56" s="117"/>
      <c r="AA56" s="117"/>
      <c r="AB56" s="117"/>
      <c r="AC56" s="120">
        <f>SUM(Z56:AB56)</f>
        <v>0</v>
      </c>
      <c r="AD56" s="131">
        <f t="shared" si="17"/>
        <v>0</v>
      </c>
    </row>
    <row r="57" spans="1:30" ht="12">
      <c r="A57" s="115" t="s">
        <v>743</v>
      </c>
      <c r="B57" s="117">
        <v>0</v>
      </c>
      <c r="C57" s="117"/>
      <c r="D57" s="117"/>
      <c r="E57" s="120">
        <f>SUM(B57:D57)</f>
        <v>0</v>
      </c>
      <c r="F57" s="117"/>
      <c r="G57" s="117"/>
      <c r="H57" s="120">
        <f>SUM(F57:G57)</f>
        <v>0</v>
      </c>
      <c r="I57" s="117"/>
      <c r="J57" s="117"/>
      <c r="K57" s="117"/>
      <c r="L57" s="117"/>
      <c r="M57" s="117"/>
      <c r="N57" s="120">
        <f>SUM(I57:M57)</f>
        <v>0</v>
      </c>
      <c r="O57" s="117"/>
      <c r="P57" s="117"/>
      <c r="Q57" s="117"/>
      <c r="R57" s="117"/>
      <c r="S57" s="117"/>
      <c r="T57" s="117"/>
      <c r="U57" s="120">
        <f>SUM(O57:T57)</f>
        <v>0</v>
      </c>
      <c r="V57" s="117"/>
      <c r="W57" s="117"/>
      <c r="X57" s="117"/>
      <c r="Y57" s="120">
        <f>SUM(V57:X57)</f>
        <v>0</v>
      </c>
      <c r="Z57" s="117"/>
      <c r="AA57" s="117">
        <f>bev!$D$275</f>
        <v>2042</v>
      </c>
      <c r="AB57" s="117"/>
      <c r="AC57" s="120">
        <f>SUM(Z57:AB57)</f>
        <v>2042</v>
      </c>
      <c r="AD57" s="131">
        <f t="shared" si="17"/>
        <v>2042</v>
      </c>
    </row>
    <row r="58" spans="1:30" ht="12">
      <c r="A58" s="115" t="s">
        <v>744</v>
      </c>
      <c r="B58" s="117"/>
      <c r="C58" s="117"/>
      <c r="D58" s="117"/>
      <c r="E58" s="120">
        <f>SUM(B58:D58)</f>
        <v>0</v>
      </c>
      <c r="F58" s="117"/>
      <c r="G58" s="117"/>
      <c r="H58" s="120">
        <f>SUM(F58:G58)</f>
        <v>0</v>
      </c>
      <c r="I58" s="117"/>
      <c r="J58" s="117"/>
      <c r="K58" s="117"/>
      <c r="L58" s="117"/>
      <c r="M58" s="117"/>
      <c r="N58" s="120">
        <f>SUM(I58:M58)</f>
        <v>0</v>
      </c>
      <c r="O58" s="117"/>
      <c r="P58" s="117"/>
      <c r="Q58" s="117"/>
      <c r="R58" s="117"/>
      <c r="S58" s="117"/>
      <c r="T58" s="117"/>
      <c r="U58" s="120">
        <f>SUM(O58:T58)</f>
        <v>0</v>
      </c>
      <c r="V58" s="117"/>
      <c r="W58" s="117"/>
      <c r="X58" s="117"/>
      <c r="Y58" s="120">
        <f>SUM(V58:X58)</f>
        <v>0</v>
      </c>
      <c r="Z58" s="117"/>
      <c r="AA58" s="117">
        <f>bev!$D$276</f>
        <v>30</v>
      </c>
      <c r="AB58" s="117"/>
      <c r="AC58" s="120">
        <f>SUM(Z58:AB58)</f>
        <v>30</v>
      </c>
      <c r="AD58" s="131">
        <f t="shared" si="17"/>
        <v>30</v>
      </c>
    </row>
    <row r="59" spans="1:30" ht="12">
      <c r="A59" s="115" t="s">
        <v>745</v>
      </c>
      <c r="B59" s="117"/>
      <c r="C59" s="117"/>
      <c r="D59" s="117"/>
      <c r="E59" s="120">
        <f>SUM(B59:D59)</f>
        <v>0</v>
      </c>
      <c r="F59" s="117"/>
      <c r="G59" s="117"/>
      <c r="H59" s="120">
        <f>SUM(F59:G59)</f>
        <v>0</v>
      </c>
      <c r="I59" s="117"/>
      <c r="J59" s="117"/>
      <c r="K59" s="117"/>
      <c r="L59" s="117"/>
      <c r="M59" s="117"/>
      <c r="N59" s="120">
        <f>SUM(I59:M59)</f>
        <v>0</v>
      </c>
      <c r="O59" s="117"/>
      <c r="P59" s="117"/>
      <c r="Q59" s="117"/>
      <c r="R59" s="117"/>
      <c r="S59" s="117"/>
      <c r="T59" s="117"/>
      <c r="U59" s="120">
        <f>SUM(O59:T59)</f>
        <v>0</v>
      </c>
      <c r="V59" s="117"/>
      <c r="W59" s="117"/>
      <c r="X59" s="117"/>
      <c r="Y59" s="120">
        <f>SUM(V59:X59)</f>
        <v>0</v>
      </c>
      <c r="Z59" s="117"/>
      <c r="AA59" s="117">
        <f>bev!$D$277</f>
        <v>250</v>
      </c>
      <c r="AB59" s="117"/>
      <c r="AC59" s="120">
        <f>SUM(Z59:AB59)</f>
        <v>250</v>
      </c>
      <c r="AD59" s="131">
        <f t="shared" si="17"/>
        <v>250</v>
      </c>
    </row>
    <row r="60" spans="1:30" ht="12">
      <c r="A60" s="115" t="s">
        <v>746</v>
      </c>
      <c r="B60" s="117"/>
      <c r="C60" s="117"/>
      <c r="D60" s="117"/>
      <c r="E60" s="120">
        <f>SUM(B60:D60)</f>
        <v>0</v>
      </c>
      <c r="F60" s="117"/>
      <c r="G60" s="117"/>
      <c r="H60" s="120">
        <f>SUM(F60:G60)</f>
        <v>0</v>
      </c>
      <c r="I60" s="117"/>
      <c r="J60" s="117"/>
      <c r="K60" s="117"/>
      <c r="L60" s="117"/>
      <c r="M60" s="117"/>
      <c r="N60" s="120">
        <f>SUM(I60:M60)</f>
        <v>0</v>
      </c>
      <c r="O60" s="117"/>
      <c r="P60" s="117"/>
      <c r="Q60" s="117"/>
      <c r="R60" s="117"/>
      <c r="S60" s="117"/>
      <c r="T60" s="117"/>
      <c r="U60" s="120">
        <f>SUM(O60:T60)</f>
        <v>0</v>
      </c>
      <c r="V60" s="117"/>
      <c r="W60" s="117"/>
      <c r="X60" s="117"/>
      <c r="Y60" s="120">
        <f>SUM(V60:X60)</f>
        <v>0</v>
      </c>
      <c r="Z60" s="117"/>
      <c r="AA60" s="117">
        <f>bev!$D$278</f>
        <v>60</v>
      </c>
      <c r="AB60" s="117"/>
      <c r="AC60" s="120">
        <f>SUM(Z60:AB60)</f>
        <v>60</v>
      </c>
      <c r="AD60" s="131">
        <f t="shared" si="17"/>
        <v>60</v>
      </c>
    </row>
    <row r="61" spans="1:30" ht="12">
      <c r="A61" s="116" t="s">
        <v>747</v>
      </c>
      <c r="B61" s="118">
        <f aca="true" t="shared" si="21" ref="B61:AD61">SUM(B57:B60)</f>
        <v>0</v>
      </c>
      <c r="C61" s="118"/>
      <c r="D61" s="118">
        <f t="shared" si="21"/>
        <v>0</v>
      </c>
      <c r="E61" s="118">
        <f t="shared" si="21"/>
        <v>0</v>
      </c>
      <c r="F61" s="118">
        <f t="shared" si="21"/>
        <v>0</v>
      </c>
      <c r="G61" s="118">
        <f t="shared" si="21"/>
        <v>0</v>
      </c>
      <c r="H61" s="118">
        <f t="shared" si="21"/>
        <v>0</v>
      </c>
      <c r="I61" s="118">
        <f t="shared" si="21"/>
        <v>0</v>
      </c>
      <c r="J61" s="118">
        <f t="shared" si="21"/>
        <v>0</v>
      </c>
      <c r="K61" s="118">
        <f t="shared" si="21"/>
        <v>0</v>
      </c>
      <c r="L61" s="118">
        <f t="shared" si="21"/>
        <v>0</v>
      </c>
      <c r="M61" s="118">
        <f t="shared" si="21"/>
        <v>0</v>
      </c>
      <c r="N61" s="118">
        <f t="shared" si="21"/>
        <v>0</v>
      </c>
      <c r="O61" s="118">
        <f t="shared" si="21"/>
        <v>0</v>
      </c>
      <c r="P61" s="118">
        <f t="shared" si="21"/>
        <v>0</v>
      </c>
      <c r="Q61" s="118">
        <f t="shared" si="21"/>
        <v>0</v>
      </c>
      <c r="R61" s="118">
        <f t="shared" si="21"/>
        <v>0</v>
      </c>
      <c r="S61" s="118">
        <f t="shared" si="21"/>
        <v>0</v>
      </c>
      <c r="T61" s="118">
        <f t="shared" si="21"/>
        <v>0</v>
      </c>
      <c r="U61" s="118">
        <f t="shared" si="21"/>
        <v>0</v>
      </c>
      <c r="V61" s="118">
        <f t="shared" si="21"/>
        <v>0</v>
      </c>
      <c r="W61" s="118">
        <f t="shared" si="21"/>
        <v>0</v>
      </c>
      <c r="X61" s="118">
        <f t="shared" si="21"/>
        <v>0</v>
      </c>
      <c r="Y61" s="118">
        <f t="shared" si="21"/>
        <v>0</v>
      </c>
      <c r="Z61" s="118">
        <f t="shared" si="21"/>
        <v>0</v>
      </c>
      <c r="AA61" s="118">
        <f t="shared" si="21"/>
        <v>2382</v>
      </c>
      <c r="AB61" s="118">
        <f t="shared" si="21"/>
        <v>0</v>
      </c>
      <c r="AC61" s="118">
        <f>SUM(AC57:AC60)</f>
        <v>2382</v>
      </c>
      <c r="AD61" s="118">
        <f t="shared" si="21"/>
        <v>2382</v>
      </c>
    </row>
    <row r="62" spans="1:30" ht="12">
      <c r="A62" s="115" t="s">
        <v>1566</v>
      </c>
      <c r="B62" s="117">
        <v>0</v>
      </c>
      <c r="C62" s="117"/>
      <c r="D62" s="117"/>
      <c r="E62" s="120">
        <f>SUM(B62:D62)</f>
        <v>0</v>
      </c>
      <c r="F62" s="117"/>
      <c r="G62" s="117"/>
      <c r="H62" s="120">
        <f>SUM(F62:G62)</f>
        <v>0</v>
      </c>
      <c r="I62" s="117"/>
      <c r="J62" s="117"/>
      <c r="K62" s="117"/>
      <c r="L62" s="117"/>
      <c r="M62" s="117"/>
      <c r="N62" s="120">
        <f>SUM(I62:M62)</f>
        <v>0</v>
      </c>
      <c r="O62" s="117"/>
      <c r="P62" s="117"/>
      <c r="Q62" s="117"/>
      <c r="R62" s="117"/>
      <c r="S62" s="117"/>
      <c r="T62" s="117"/>
      <c r="U62" s="120">
        <f>SUM(O62:T62)</f>
        <v>0</v>
      </c>
      <c r="V62" s="117"/>
      <c r="W62" s="117"/>
      <c r="X62" s="117"/>
      <c r="Y62" s="120">
        <f>SUM(V62:X62)</f>
        <v>0</v>
      </c>
      <c r="Z62" s="117"/>
      <c r="AA62" s="117">
        <f>bev!$D$287</f>
        <v>5677</v>
      </c>
      <c r="AB62" s="117"/>
      <c r="AC62" s="120">
        <f>SUM(Z62:AB62)</f>
        <v>5677</v>
      </c>
      <c r="AD62" s="131">
        <f t="shared" si="17"/>
        <v>5677</v>
      </c>
    </row>
    <row r="63" spans="1:30" ht="12">
      <c r="A63" s="115" t="s">
        <v>1567</v>
      </c>
      <c r="B63" s="117"/>
      <c r="C63" s="117"/>
      <c r="D63" s="117"/>
      <c r="E63" s="120">
        <f>SUM(B63:D63)</f>
        <v>0</v>
      </c>
      <c r="F63" s="117"/>
      <c r="G63" s="117"/>
      <c r="H63" s="120">
        <f>SUM(F63:G63)</f>
        <v>0</v>
      </c>
      <c r="I63" s="117"/>
      <c r="J63" s="117"/>
      <c r="K63" s="117"/>
      <c r="L63" s="117"/>
      <c r="M63" s="117"/>
      <c r="N63" s="120">
        <f>SUM(I63:M63)</f>
        <v>0</v>
      </c>
      <c r="O63" s="117"/>
      <c r="P63" s="117"/>
      <c r="Q63" s="117"/>
      <c r="R63" s="117"/>
      <c r="S63" s="117"/>
      <c r="T63" s="117"/>
      <c r="U63" s="120">
        <f>SUM(O63:T63)</f>
        <v>0</v>
      </c>
      <c r="V63" s="117"/>
      <c r="W63" s="117"/>
      <c r="X63" s="117"/>
      <c r="Y63" s="120">
        <f>SUM(V63:X63)</f>
        <v>0</v>
      </c>
      <c r="Z63" s="117"/>
      <c r="AA63" s="117">
        <f>bev!$D$292</f>
        <v>23280</v>
      </c>
      <c r="AB63" s="117"/>
      <c r="AC63" s="120">
        <f>SUM(Z63:AB63)</f>
        <v>23280</v>
      </c>
      <c r="AD63" s="131">
        <f t="shared" si="17"/>
        <v>23280</v>
      </c>
    </row>
    <row r="64" spans="1:30" ht="12">
      <c r="A64" s="115" t="s">
        <v>748</v>
      </c>
      <c r="B64" s="117"/>
      <c r="C64" s="117"/>
      <c r="D64" s="117"/>
      <c r="E64" s="120">
        <f>SUM(B64:D64)</f>
        <v>0</v>
      </c>
      <c r="F64" s="117"/>
      <c r="G64" s="117"/>
      <c r="H64" s="120">
        <f>SUM(F64:G64)</f>
        <v>0</v>
      </c>
      <c r="I64" s="117"/>
      <c r="J64" s="117"/>
      <c r="K64" s="117"/>
      <c r="L64" s="117"/>
      <c r="M64" s="117"/>
      <c r="N64" s="120">
        <f>SUM(I64:M64)</f>
        <v>0</v>
      </c>
      <c r="O64" s="117"/>
      <c r="P64" s="117"/>
      <c r="Q64" s="117"/>
      <c r="R64" s="117"/>
      <c r="S64" s="117"/>
      <c r="T64" s="117"/>
      <c r="U64" s="120">
        <f>SUM(O64:T64)</f>
        <v>0</v>
      </c>
      <c r="V64" s="117"/>
      <c r="W64" s="117"/>
      <c r="X64" s="117"/>
      <c r="Y64" s="120">
        <f>SUM(V64:X64)</f>
        <v>0</v>
      </c>
      <c r="Z64" s="117"/>
      <c r="AA64" s="117">
        <f>bev!$D$293</f>
        <v>0</v>
      </c>
      <c r="AB64" s="117"/>
      <c r="AC64" s="120">
        <f>SUM(Z64:AB64)</f>
        <v>0</v>
      </c>
      <c r="AD64" s="131">
        <f t="shared" si="17"/>
        <v>0</v>
      </c>
    </row>
    <row r="65" spans="1:30" ht="12">
      <c r="A65" s="121" t="s">
        <v>749</v>
      </c>
      <c r="B65" s="122">
        <f aca="true" t="shared" si="22" ref="B65:AD65">SUM(B62:B64)</f>
        <v>0</v>
      </c>
      <c r="C65" s="122"/>
      <c r="D65" s="122">
        <f t="shared" si="22"/>
        <v>0</v>
      </c>
      <c r="E65" s="122">
        <f t="shared" si="22"/>
        <v>0</v>
      </c>
      <c r="F65" s="122">
        <f t="shared" si="22"/>
        <v>0</v>
      </c>
      <c r="G65" s="122">
        <f t="shared" si="22"/>
        <v>0</v>
      </c>
      <c r="H65" s="122">
        <f t="shared" si="22"/>
        <v>0</v>
      </c>
      <c r="I65" s="122">
        <f t="shared" si="22"/>
        <v>0</v>
      </c>
      <c r="J65" s="122">
        <f t="shared" si="22"/>
        <v>0</v>
      </c>
      <c r="K65" s="122">
        <f t="shared" si="22"/>
        <v>0</v>
      </c>
      <c r="L65" s="122">
        <f t="shared" si="22"/>
        <v>0</v>
      </c>
      <c r="M65" s="122">
        <f t="shared" si="22"/>
        <v>0</v>
      </c>
      <c r="N65" s="122">
        <f t="shared" si="22"/>
        <v>0</v>
      </c>
      <c r="O65" s="122">
        <f t="shared" si="22"/>
        <v>0</v>
      </c>
      <c r="P65" s="122">
        <f t="shared" si="22"/>
        <v>0</v>
      </c>
      <c r="Q65" s="122">
        <f t="shared" si="22"/>
        <v>0</v>
      </c>
      <c r="R65" s="122">
        <f t="shared" si="22"/>
        <v>0</v>
      </c>
      <c r="S65" s="122">
        <f t="shared" si="22"/>
        <v>0</v>
      </c>
      <c r="T65" s="122">
        <f t="shared" si="22"/>
        <v>0</v>
      </c>
      <c r="U65" s="122">
        <f t="shared" si="22"/>
        <v>0</v>
      </c>
      <c r="V65" s="122">
        <f t="shared" si="22"/>
        <v>0</v>
      </c>
      <c r="W65" s="122">
        <f t="shared" si="22"/>
        <v>0</v>
      </c>
      <c r="X65" s="122">
        <f t="shared" si="22"/>
        <v>0</v>
      </c>
      <c r="Y65" s="122">
        <f t="shared" si="22"/>
        <v>0</v>
      </c>
      <c r="Z65" s="122">
        <f t="shared" si="22"/>
        <v>0</v>
      </c>
      <c r="AA65" s="122">
        <f t="shared" si="22"/>
        <v>28957</v>
      </c>
      <c r="AB65" s="122">
        <f t="shared" si="22"/>
        <v>0</v>
      </c>
      <c r="AC65" s="122">
        <f t="shared" si="22"/>
        <v>28957</v>
      </c>
      <c r="AD65" s="122">
        <f t="shared" si="22"/>
        <v>28957</v>
      </c>
    </row>
    <row r="66" spans="1:30" ht="12">
      <c r="A66" s="115" t="s">
        <v>750</v>
      </c>
      <c r="B66" s="117"/>
      <c r="C66" s="117"/>
      <c r="D66" s="117"/>
      <c r="E66" s="120">
        <f>SUM(B66:D66)</f>
        <v>0</v>
      </c>
      <c r="F66" s="117"/>
      <c r="G66" s="117"/>
      <c r="H66" s="120">
        <f>SUM(F66:G66)</f>
        <v>0</v>
      </c>
      <c r="I66" s="117"/>
      <c r="J66" s="117"/>
      <c r="K66" s="117"/>
      <c r="L66" s="117"/>
      <c r="M66" s="117"/>
      <c r="N66" s="120">
        <f>SUM(I66:M66)</f>
        <v>0</v>
      </c>
      <c r="O66" s="117"/>
      <c r="P66" s="117"/>
      <c r="Q66" s="117"/>
      <c r="R66" s="117"/>
      <c r="S66" s="117"/>
      <c r="T66" s="117"/>
      <c r="U66" s="120">
        <f>SUM(O66:T66)</f>
        <v>0</v>
      </c>
      <c r="V66" s="117"/>
      <c r="W66" s="117"/>
      <c r="X66" s="117"/>
      <c r="Y66" s="120">
        <f>SUM(V66:X66)</f>
        <v>0</v>
      </c>
      <c r="Z66" s="117"/>
      <c r="AA66" s="117">
        <f>bev!$D$301</f>
        <v>1800</v>
      </c>
      <c r="AB66" s="117"/>
      <c r="AC66" s="120">
        <f>SUM(Z66:AB66)</f>
        <v>1800</v>
      </c>
      <c r="AD66" s="131">
        <f t="shared" si="17"/>
        <v>1800</v>
      </c>
    </row>
    <row r="67" spans="1:30" ht="12">
      <c r="A67" s="115" t="s">
        <v>751</v>
      </c>
      <c r="B67" s="117"/>
      <c r="C67" s="117"/>
      <c r="D67" s="117"/>
      <c r="E67" s="120">
        <f>SUM(B67:D67)</f>
        <v>0</v>
      </c>
      <c r="F67" s="117"/>
      <c r="G67" s="117"/>
      <c r="H67" s="120">
        <f>SUM(F67:G67)</f>
        <v>0</v>
      </c>
      <c r="I67" s="117"/>
      <c r="J67" s="117"/>
      <c r="K67" s="117"/>
      <c r="L67" s="117"/>
      <c r="M67" s="117"/>
      <c r="N67" s="120">
        <f>SUM(I67:M67)</f>
        <v>0</v>
      </c>
      <c r="O67" s="117"/>
      <c r="P67" s="117"/>
      <c r="Q67" s="117"/>
      <c r="R67" s="117"/>
      <c r="S67" s="117"/>
      <c r="T67" s="117"/>
      <c r="U67" s="120">
        <f>SUM(O67:T67)</f>
        <v>0</v>
      </c>
      <c r="V67" s="117"/>
      <c r="W67" s="117"/>
      <c r="X67" s="117"/>
      <c r="Y67" s="120">
        <f>SUM(V67:X67)</f>
        <v>0</v>
      </c>
      <c r="Z67" s="117"/>
      <c r="AA67" s="117">
        <f>bev!$D$304</f>
        <v>0</v>
      </c>
      <c r="AB67" s="117"/>
      <c r="AC67" s="120">
        <f>SUM(Z67:AB67)</f>
        <v>0</v>
      </c>
      <c r="AD67" s="131">
        <f t="shared" si="17"/>
        <v>0</v>
      </c>
    </row>
    <row r="68" spans="1:30" ht="12">
      <c r="A68" s="115" t="s">
        <v>752</v>
      </c>
      <c r="B68" s="117"/>
      <c r="C68" s="117"/>
      <c r="D68" s="117"/>
      <c r="E68" s="120">
        <f>SUM(B68:D68)</f>
        <v>0</v>
      </c>
      <c r="F68" s="117"/>
      <c r="G68" s="117"/>
      <c r="H68" s="120">
        <f>SUM(F68:G68)</f>
        <v>0</v>
      </c>
      <c r="I68" s="117"/>
      <c r="J68" s="117"/>
      <c r="K68" s="117"/>
      <c r="L68" s="117"/>
      <c r="M68" s="117"/>
      <c r="N68" s="120">
        <f>SUM(I68:M68)</f>
        <v>0</v>
      </c>
      <c r="O68" s="117"/>
      <c r="P68" s="117"/>
      <c r="Q68" s="117"/>
      <c r="R68" s="117"/>
      <c r="S68" s="117"/>
      <c r="T68" s="117"/>
      <c r="U68" s="120">
        <f>SUM(O68:T68)</f>
        <v>0</v>
      </c>
      <c r="V68" s="117"/>
      <c r="W68" s="117"/>
      <c r="X68" s="117"/>
      <c r="Y68" s="120">
        <f>SUM(V68:X68)</f>
        <v>0</v>
      </c>
      <c r="Z68" s="117"/>
      <c r="AA68" s="117">
        <f>bev!$D$305</f>
        <v>0</v>
      </c>
      <c r="AB68" s="117"/>
      <c r="AC68" s="120">
        <f>SUM(Z68:AB68)</f>
        <v>0</v>
      </c>
      <c r="AD68" s="131">
        <f t="shared" si="17"/>
        <v>0</v>
      </c>
    </row>
    <row r="69" spans="1:30" ht="12">
      <c r="A69" s="116" t="s">
        <v>1539</v>
      </c>
      <c r="B69" s="118">
        <f aca="true" t="shared" si="23" ref="B69:AD69">B65+B66+B67+B68</f>
        <v>0</v>
      </c>
      <c r="C69" s="118"/>
      <c r="D69" s="118">
        <f t="shared" si="23"/>
        <v>0</v>
      </c>
      <c r="E69" s="118">
        <f t="shared" si="23"/>
        <v>0</v>
      </c>
      <c r="F69" s="118">
        <f t="shared" si="23"/>
        <v>0</v>
      </c>
      <c r="G69" s="118">
        <f t="shared" si="23"/>
        <v>0</v>
      </c>
      <c r="H69" s="118">
        <f t="shared" si="23"/>
        <v>0</v>
      </c>
      <c r="I69" s="118">
        <f t="shared" si="23"/>
        <v>0</v>
      </c>
      <c r="J69" s="118">
        <f t="shared" si="23"/>
        <v>0</v>
      </c>
      <c r="K69" s="118">
        <f t="shared" si="23"/>
        <v>0</v>
      </c>
      <c r="L69" s="118">
        <f t="shared" si="23"/>
        <v>0</v>
      </c>
      <c r="M69" s="118">
        <f t="shared" si="23"/>
        <v>0</v>
      </c>
      <c r="N69" s="118">
        <f t="shared" si="23"/>
        <v>0</v>
      </c>
      <c r="O69" s="118">
        <f t="shared" si="23"/>
        <v>0</v>
      </c>
      <c r="P69" s="118">
        <f t="shared" si="23"/>
        <v>0</v>
      </c>
      <c r="Q69" s="118">
        <f t="shared" si="23"/>
        <v>0</v>
      </c>
      <c r="R69" s="118">
        <f t="shared" si="23"/>
        <v>0</v>
      </c>
      <c r="S69" s="118">
        <f t="shared" si="23"/>
        <v>0</v>
      </c>
      <c r="T69" s="118">
        <f t="shared" si="23"/>
        <v>0</v>
      </c>
      <c r="U69" s="118">
        <f t="shared" si="23"/>
        <v>0</v>
      </c>
      <c r="V69" s="118">
        <f t="shared" si="23"/>
        <v>0</v>
      </c>
      <c r="W69" s="118">
        <f t="shared" si="23"/>
        <v>0</v>
      </c>
      <c r="X69" s="118">
        <f t="shared" si="23"/>
        <v>0</v>
      </c>
      <c r="Y69" s="118">
        <f t="shared" si="23"/>
        <v>0</v>
      </c>
      <c r="Z69" s="118">
        <f t="shared" si="23"/>
        <v>0</v>
      </c>
      <c r="AA69" s="118">
        <f t="shared" si="23"/>
        <v>30757</v>
      </c>
      <c r="AB69" s="118">
        <f t="shared" si="23"/>
        <v>0</v>
      </c>
      <c r="AC69" s="118">
        <f t="shared" si="23"/>
        <v>30757</v>
      </c>
      <c r="AD69" s="118">
        <f t="shared" si="23"/>
        <v>30757</v>
      </c>
    </row>
    <row r="70" spans="1:30" ht="12">
      <c r="A70" s="115"/>
      <c r="B70" s="117"/>
      <c r="C70" s="117"/>
      <c r="D70" s="117"/>
      <c r="E70" s="120">
        <f>SUM(B70:D70)</f>
        <v>0</v>
      </c>
      <c r="F70" s="117"/>
      <c r="G70" s="117"/>
      <c r="H70" s="120">
        <f>SUM(F70:G70)</f>
        <v>0</v>
      </c>
      <c r="I70" s="117"/>
      <c r="J70" s="117"/>
      <c r="K70" s="117"/>
      <c r="L70" s="117"/>
      <c r="M70" s="117"/>
      <c r="N70" s="120">
        <f>SUM(I70:M70)</f>
        <v>0</v>
      </c>
      <c r="O70" s="117"/>
      <c r="P70" s="117"/>
      <c r="Q70" s="117"/>
      <c r="R70" s="117"/>
      <c r="S70" s="117"/>
      <c r="T70" s="117"/>
      <c r="U70" s="120">
        <f>SUM(O70:T70)</f>
        <v>0</v>
      </c>
      <c r="V70" s="117"/>
      <c r="W70" s="117"/>
      <c r="X70" s="117"/>
      <c r="Y70" s="120">
        <f>SUM(V70:X70)</f>
        <v>0</v>
      </c>
      <c r="Z70" s="117"/>
      <c r="AA70" s="117"/>
      <c r="AB70" s="117"/>
      <c r="AC70" s="120">
        <f>SUM(Z70:AB70)</f>
        <v>0</v>
      </c>
      <c r="AD70" s="131">
        <f t="shared" si="17"/>
        <v>0</v>
      </c>
    </row>
    <row r="71" spans="1:30" ht="12">
      <c r="A71" s="115"/>
      <c r="B71" s="117"/>
      <c r="C71" s="117"/>
      <c r="D71" s="117"/>
      <c r="E71" s="120">
        <f>SUM(B71:D71)</f>
        <v>0</v>
      </c>
      <c r="F71" s="117"/>
      <c r="G71" s="117"/>
      <c r="H71" s="120">
        <f>SUM(F71:G71)</f>
        <v>0</v>
      </c>
      <c r="I71" s="117"/>
      <c r="J71" s="117"/>
      <c r="K71" s="117"/>
      <c r="L71" s="117"/>
      <c r="M71" s="117"/>
      <c r="N71" s="120">
        <f>SUM(I71:M71)</f>
        <v>0</v>
      </c>
      <c r="O71" s="117"/>
      <c r="P71" s="117"/>
      <c r="Q71" s="117"/>
      <c r="R71" s="117"/>
      <c r="S71" s="117"/>
      <c r="T71" s="117"/>
      <c r="U71" s="120">
        <f>SUM(O71:T71)</f>
        <v>0</v>
      </c>
      <c r="V71" s="117"/>
      <c r="W71" s="117"/>
      <c r="X71" s="117"/>
      <c r="Y71" s="120">
        <f>SUM(V71:X71)</f>
        <v>0</v>
      </c>
      <c r="Z71" s="117"/>
      <c r="AA71" s="117"/>
      <c r="AB71" s="117"/>
      <c r="AC71" s="120">
        <f>SUM(Z71:AB71)</f>
        <v>0</v>
      </c>
      <c r="AD71" s="131">
        <f t="shared" si="17"/>
        <v>0</v>
      </c>
    </row>
    <row r="72" spans="1:30" ht="12">
      <c r="A72" s="115" t="s">
        <v>1540</v>
      </c>
      <c r="B72" s="117"/>
      <c r="C72" s="117"/>
      <c r="D72" s="117"/>
      <c r="E72" s="120">
        <f>SUM(B72:D72)</f>
        <v>0</v>
      </c>
      <c r="F72" s="117"/>
      <c r="G72" s="117"/>
      <c r="H72" s="120">
        <f>SUM(F72:G72)</f>
        <v>0</v>
      </c>
      <c r="I72" s="117"/>
      <c r="J72" s="117"/>
      <c r="K72" s="117"/>
      <c r="L72" s="117"/>
      <c r="M72" s="117"/>
      <c r="N72" s="120">
        <f>SUM(I72:M72)</f>
        <v>0</v>
      </c>
      <c r="O72" s="117"/>
      <c r="P72" s="117"/>
      <c r="Q72" s="117"/>
      <c r="R72" s="117"/>
      <c r="S72" s="117"/>
      <c r="T72" s="117"/>
      <c r="U72" s="120">
        <f>SUM(O72:T72)</f>
        <v>0</v>
      </c>
      <c r="V72" s="117"/>
      <c r="W72" s="117"/>
      <c r="X72" s="117"/>
      <c r="Y72" s="120">
        <f>SUM(V72:X72)</f>
        <v>0</v>
      </c>
      <c r="Z72" s="117"/>
      <c r="AA72" s="117">
        <f>bev!$D$309</f>
        <v>4</v>
      </c>
      <c r="AB72" s="117"/>
      <c r="AC72" s="120">
        <f>SUM(Z72:AB72)</f>
        <v>4</v>
      </c>
      <c r="AD72" s="131">
        <f t="shared" si="17"/>
        <v>4</v>
      </c>
    </row>
    <row r="73" spans="1:30" ht="12">
      <c r="A73" s="123" t="s">
        <v>1541</v>
      </c>
      <c r="B73" s="124">
        <f aca="true" t="shared" si="24" ref="B73:AD73">B61+B69+B70+B71+B72</f>
        <v>0</v>
      </c>
      <c r="C73" s="124"/>
      <c r="D73" s="124">
        <f t="shared" si="24"/>
        <v>0</v>
      </c>
      <c r="E73" s="124">
        <f t="shared" si="24"/>
        <v>0</v>
      </c>
      <c r="F73" s="124">
        <f t="shared" si="24"/>
        <v>0</v>
      </c>
      <c r="G73" s="124">
        <f t="shared" si="24"/>
        <v>0</v>
      </c>
      <c r="H73" s="124">
        <f t="shared" si="24"/>
        <v>0</v>
      </c>
      <c r="I73" s="124">
        <f t="shared" si="24"/>
        <v>0</v>
      </c>
      <c r="J73" s="124">
        <f t="shared" si="24"/>
        <v>0</v>
      </c>
      <c r="K73" s="124">
        <f t="shared" si="24"/>
        <v>0</v>
      </c>
      <c r="L73" s="124">
        <f t="shared" si="24"/>
        <v>0</v>
      </c>
      <c r="M73" s="124">
        <f t="shared" si="24"/>
        <v>0</v>
      </c>
      <c r="N73" s="124">
        <f t="shared" si="24"/>
        <v>0</v>
      </c>
      <c r="O73" s="124">
        <f t="shared" si="24"/>
        <v>0</v>
      </c>
      <c r="P73" s="124">
        <f t="shared" si="24"/>
        <v>0</v>
      </c>
      <c r="Q73" s="124">
        <f t="shared" si="24"/>
        <v>0</v>
      </c>
      <c r="R73" s="124">
        <f t="shared" si="24"/>
        <v>0</v>
      </c>
      <c r="S73" s="124">
        <f t="shared" si="24"/>
        <v>0</v>
      </c>
      <c r="T73" s="124">
        <f t="shared" si="24"/>
        <v>0</v>
      </c>
      <c r="U73" s="124">
        <f t="shared" si="24"/>
        <v>0</v>
      </c>
      <c r="V73" s="124">
        <f t="shared" si="24"/>
        <v>0</v>
      </c>
      <c r="W73" s="124">
        <f t="shared" si="24"/>
        <v>0</v>
      </c>
      <c r="X73" s="124">
        <f t="shared" si="24"/>
        <v>0</v>
      </c>
      <c r="Y73" s="124">
        <f t="shared" si="24"/>
        <v>0</v>
      </c>
      <c r="Z73" s="124">
        <f t="shared" si="24"/>
        <v>0</v>
      </c>
      <c r="AA73" s="124">
        <f>AA61+AA69+AA70+AA71+AA72</f>
        <v>33143</v>
      </c>
      <c r="AB73" s="124">
        <f t="shared" si="24"/>
        <v>0</v>
      </c>
      <c r="AC73" s="124">
        <f t="shared" si="24"/>
        <v>33143</v>
      </c>
      <c r="AD73" s="124">
        <f t="shared" si="24"/>
        <v>33143</v>
      </c>
    </row>
    <row r="74" spans="1:30" ht="12">
      <c r="A74" s="115" t="s">
        <v>1542</v>
      </c>
      <c r="B74" s="117">
        <v>0</v>
      </c>
      <c r="C74" s="117"/>
      <c r="D74" s="117"/>
      <c r="E74" s="120">
        <f aca="true" t="shared" si="25" ref="E74:E79">SUM(B74:D74)</f>
        <v>0</v>
      </c>
      <c r="F74" s="117"/>
      <c r="G74" s="117"/>
      <c r="H74" s="120">
        <f aca="true" t="shared" si="26" ref="H74:H79">SUM(F74:G74)</f>
        <v>0</v>
      </c>
      <c r="I74" s="117"/>
      <c r="J74" s="117"/>
      <c r="K74" s="117"/>
      <c r="L74" s="117"/>
      <c r="M74" s="117"/>
      <c r="N74" s="120">
        <f aca="true" t="shared" si="27" ref="N74:N79">SUM(I74:M74)</f>
        <v>0</v>
      </c>
      <c r="O74" s="117"/>
      <c r="P74" s="117"/>
      <c r="Q74" s="117"/>
      <c r="R74" s="117"/>
      <c r="S74" s="117"/>
      <c r="T74" s="117"/>
      <c r="U74" s="120">
        <f aca="true" t="shared" si="28" ref="U74:U79">SUM(O74:T74)</f>
        <v>0</v>
      </c>
      <c r="V74" s="117"/>
      <c r="W74" s="117"/>
      <c r="X74" s="117"/>
      <c r="Y74" s="120">
        <f aca="true" t="shared" si="29" ref="Y74:Y79">SUM(V74:X74)</f>
        <v>0</v>
      </c>
      <c r="Z74" s="117"/>
      <c r="AA74" s="117">
        <f>bev!$D$320</f>
        <v>24921</v>
      </c>
      <c r="AB74" s="117"/>
      <c r="AC74" s="120">
        <f aca="true" t="shared" si="30" ref="AC74:AC79">SUM(Z74:AB74)</f>
        <v>24921</v>
      </c>
      <c r="AD74" s="131">
        <f t="shared" si="17"/>
        <v>24921</v>
      </c>
    </row>
    <row r="75" spans="1:30" ht="12">
      <c r="A75" s="115" t="s">
        <v>1543</v>
      </c>
      <c r="B75" s="117"/>
      <c r="C75" s="117"/>
      <c r="D75" s="117"/>
      <c r="E75" s="120">
        <f t="shared" si="25"/>
        <v>0</v>
      </c>
      <c r="F75" s="117"/>
      <c r="G75" s="117"/>
      <c r="H75" s="120">
        <f t="shared" si="26"/>
        <v>0</v>
      </c>
      <c r="I75" s="117"/>
      <c r="J75" s="117"/>
      <c r="K75" s="117"/>
      <c r="L75" s="117"/>
      <c r="M75" s="117"/>
      <c r="N75" s="120">
        <f t="shared" si="27"/>
        <v>0</v>
      </c>
      <c r="O75" s="117"/>
      <c r="P75" s="117"/>
      <c r="Q75" s="117"/>
      <c r="R75" s="117"/>
      <c r="S75" s="117"/>
      <c r="T75" s="117"/>
      <c r="U75" s="120">
        <f t="shared" si="28"/>
        <v>0</v>
      </c>
      <c r="V75" s="117"/>
      <c r="W75" s="117"/>
      <c r="X75" s="117"/>
      <c r="Y75" s="120">
        <f t="shared" si="29"/>
        <v>0</v>
      </c>
      <c r="Z75" s="117"/>
      <c r="AA75" s="117"/>
      <c r="AB75" s="117"/>
      <c r="AC75" s="120">
        <f t="shared" si="30"/>
        <v>0</v>
      </c>
      <c r="AD75" s="131">
        <f t="shared" si="17"/>
        <v>0</v>
      </c>
    </row>
    <row r="76" spans="1:30" ht="12">
      <c r="A76" s="115" t="s">
        <v>1544</v>
      </c>
      <c r="B76" s="117"/>
      <c r="C76" s="117"/>
      <c r="D76" s="117"/>
      <c r="E76" s="120">
        <f t="shared" si="25"/>
        <v>0</v>
      </c>
      <c r="F76" s="117"/>
      <c r="G76" s="117"/>
      <c r="H76" s="120">
        <f t="shared" si="26"/>
        <v>0</v>
      </c>
      <c r="I76" s="117"/>
      <c r="J76" s="117"/>
      <c r="K76" s="117"/>
      <c r="L76" s="117"/>
      <c r="M76" s="117"/>
      <c r="N76" s="120">
        <f t="shared" si="27"/>
        <v>0</v>
      </c>
      <c r="O76" s="117"/>
      <c r="P76" s="117"/>
      <c r="Q76" s="117"/>
      <c r="R76" s="117"/>
      <c r="S76" s="117"/>
      <c r="T76" s="117"/>
      <c r="U76" s="120">
        <f t="shared" si="28"/>
        <v>0</v>
      </c>
      <c r="V76" s="117"/>
      <c r="W76" s="117"/>
      <c r="X76" s="117"/>
      <c r="Y76" s="120">
        <f t="shared" si="29"/>
        <v>0</v>
      </c>
      <c r="Z76" s="117"/>
      <c r="AA76" s="117">
        <f>bev!$D$323</f>
        <v>0</v>
      </c>
      <c r="AB76" s="117"/>
      <c r="AC76" s="120">
        <f t="shared" si="30"/>
        <v>0</v>
      </c>
      <c r="AD76" s="131">
        <f t="shared" si="17"/>
        <v>0</v>
      </c>
    </row>
    <row r="77" spans="1:30" ht="12">
      <c r="A77" s="115" t="s">
        <v>1545</v>
      </c>
      <c r="B77" s="117">
        <v>0</v>
      </c>
      <c r="C77" s="117"/>
      <c r="D77" s="117"/>
      <c r="E77" s="120">
        <f t="shared" si="25"/>
        <v>0</v>
      </c>
      <c r="F77" s="117"/>
      <c r="G77" s="117"/>
      <c r="H77" s="120">
        <f t="shared" si="26"/>
        <v>0</v>
      </c>
      <c r="I77" s="117"/>
      <c r="J77" s="117"/>
      <c r="K77" s="117"/>
      <c r="L77" s="117"/>
      <c r="M77" s="117"/>
      <c r="N77" s="120">
        <f t="shared" si="27"/>
        <v>0</v>
      </c>
      <c r="O77" s="117"/>
      <c r="P77" s="117"/>
      <c r="Q77" s="117"/>
      <c r="R77" s="117"/>
      <c r="S77" s="117"/>
      <c r="T77" s="117"/>
      <c r="U77" s="120">
        <f t="shared" si="28"/>
        <v>0</v>
      </c>
      <c r="V77" s="117"/>
      <c r="W77" s="117"/>
      <c r="X77" s="117"/>
      <c r="Y77" s="120">
        <f t="shared" si="29"/>
        <v>0</v>
      </c>
      <c r="Z77" s="117"/>
      <c r="AA77" s="117">
        <f>bev!$D$321</f>
        <v>0</v>
      </c>
      <c r="AB77" s="117"/>
      <c r="AC77" s="120">
        <f t="shared" si="30"/>
        <v>0</v>
      </c>
      <c r="AD77" s="131">
        <f t="shared" si="17"/>
        <v>0</v>
      </c>
    </row>
    <row r="78" spans="1:30" ht="12">
      <c r="A78" s="115" t="s">
        <v>1546</v>
      </c>
      <c r="B78" s="117"/>
      <c r="C78" s="117"/>
      <c r="D78" s="117"/>
      <c r="E78" s="120">
        <f t="shared" si="25"/>
        <v>0</v>
      </c>
      <c r="F78" s="117"/>
      <c r="G78" s="117"/>
      <c r="H78" s="120">
        <f t="shared" si="26"/>
        <v>0</v>
      </c>
      <c r="I78" s="117"/>
      <c r="J78" s="117"/>
      <c r="K78" s="117"/>
      <c r="L78" s="117"/>
      <c r="M78" s="117"/>
      <c r="N78" s="120">
        <f t="shared" si="27"/>
        <v>0</v>
      </c>
      <c r="O78" s="117"/>
      <c r="P78" s="117"/>
      <c r="Q78" s="117"/>
      <c r="R78" s="117"/>
      <c r="S78" s="117"/>
      <c r="T78" s="117"/>
      <c r="U78" s="120">
        <f t="shared" si="28"/>
        <v>0</v>
      </c>
      <c r="V78" s="117"/>
      <c r="W78" s="117"/>
      <c r="X78" s="117"/>
      <c r="Y78" s="120">
        <f t="shared" si="29"/>
        <v>0</v>
      </c>
      <c r="Z78" s="117"/>
      <c r="AA78" s="117">
        <f>bev!$D$345</f>
        <v>15383</v>
      </c>
      <c r="AB78" s="117"/>
      <c r="AC78" s="120">
        <f t="shared" si="30"/>
        <v>15383</v>
      </c>
      <c r="AD78" s="131">
        <f t="shared" si="17"/>
        <v>15383</v>
      </c>
    </row>
    <row r="79" spans="1:30" ht="12">
      <c r="A79" s="115" t="s">
        <v>1547</v>
      </c>
      <c r="B79" s="117"/>
      <c r="C79" s="117"/>
      <c r="D79" s="117"/>
      <c r="E79" s="120">
        <f t="shared" si="25"/>
        <v>0</v>
      </c>
      <c r="F79" s="117"/>
      <c r="G79" s="117"/>
      <c r="H79" s="120">
        <f t="shared" si="26"/>
        <v>0</v>
      </c>
      <c r="I79" s="117"/>
      <c r="J79" s="117"/>
      <c r="K79" s="117"/>
      <c r="L79" s="117"/>
      <c r="M79" s="117"/>
      <c r="N79" s="120">
        <f t="shared" si="27"/>
        <v>0</v>
      </c>
      <c r="O79" s="117"/>
      <c r="P79" s="117"/>
      <c r="Q79" s="117"/>
      <c r="R79" s="117"/>
      <c r="S79" s="117"/>
      <c r="T79" s="117"/>
      <c r="U79" s="120">
        <f t="shared" si="28"/>
        <v>0</v>
      </c>
      <c r="V79" s="117"/>
      <c r="W79" s="117"/>
      <c r="X79" s="117"/>
      <c r="Y79" s="120">
        <f t="shared" si="29"/>
        <v>0</v>
      </c>
      <c r="Z79" s="117"/>
      <c r="AA79" s="117">
        <f>bev!D347</f>
        <v>4216</v>
      </c>
      <c r="AB79" s="117"/>
      <c r="AC79" s="120">
        <f t="shared" si="30"/>
        <v>4216</v>
      </c>
      <c r="AD79" s="131">
        <f t="shared" si="17"/>
        <v>4216</v>
      </c>
    </row>
    <row r="80" spans="1:30" ht="12">
      <c r="A80" s="116" t="s">
        <v>1548</v>
      </c>
      <c r="B80" s="118">
        <f aca="true" t="shared" si="31" ref="B80:AD80">SUM(B77:B79)</f>
        <v>0</v>
      </c>
      <c r="C80" s="118"/>
      <c r="D80" s="118">
        <f t="shared" si="31"/>
        <v>0</v>
      </c>
      <c r="E80" s="118">
        <f t="shared" si="31"/>
        <v>0</v>
      </c>
      <c r="F80" s="118">
        <f t="shared" si="31"/>
        <v>0</v>
      </c>
      <c r="G80" s="118">
        <f t="shared" si="31"/>
        <v>0</v>
      </c>
      <c r="H80" s="118">
        <f t="shared" si="31"/>
        <v>0</v>
      </c>
      <c r="I80" s="118">
        <f t="shared" si="31"/>
        <v>0</v>
      </c>
      <c r="J80" s="118">
        <f t="shared" si="31"/>
        <v>0</v>
      </c>
      <c r="K80" s="118">
        <f t="shared" si="31"/>
        <v>0</v>
      </c>
      <c r="L80" s="118">
        <f t="shared" si="31"/>
        <v>0</v>
      </c>
      <c r="M80" s="118">
        <f t="shared" si="31"/>
        <v>0</v>
      </c>
      <c r="N80" s="118">
        <f t="shared" si="31"/>
        <v>0</v>
      </c>
      <c r="O80" s="118">
        <f t="shared" si="31"/>
        <v>0</v>
      </c>
      <c r="P80" s="118">
        <f t="shared" si="31"/>
        <v>0</v>
      </c>
      <c r="Q80" s="118">
        <f t="shared" si="31"/>
        <v>0</v>
      </c>
      <c r="R80" s="118">
        <f t="shared" si="31"/>
        <v>0</v>
      </c>
      <c r="S80" s="118">
        <f t="shared" si="31"/>
        <v>0</v>
      </c>
      <c r="T80" s="118">
        <f t="shared" si="31"/>
        <v>0</v>
      </c>
      <c r="U80" s="118">
        <f t="shared" si="31"/>
        <v>0</v>
      </c>
      <c r="V80" s="118">
        <f t="shared" si="31"/>
        <v>0</v>
      </c>
      <c r="W80" s="118">
        <f t="shared" si="31"/>
        <v>0</v>
      </c>
      <c r="X80" s="118">
        <f t="shared" si="31"/>
        <v>0</v>
      </c>
      <c r="Y80" s="118">
        <f t="shared" si="31"/>
        <v>0</v>
      </c>
      <c r="Z80" s="118">
        <f t="shared" si="31"/>
        <v>0</v>
      </c>
      <c r="AA80" s="118">
        <f t="shared" si="31"/>
        <v>19599</v>
      </c>
      <c r="AB80" s="118">
        <f t="shared" si="31"/>
        <v>0</v>
      </c>
      <c r="AC80" s="118">
        <f t="shared" si="31"/>
        <v>19599</v>
      </c>
      <c r="AD80" s="118">
        <f t="shared" si="31"/>
        <v>19599</v>
      </c>
    </row>
    <row r="81" spans="1:30" ht="12">
      <c r="A81" s="115" t="s">
        <v>1549</v>
      </c>
      <c r="B81" s="117"/>
      <c r="C81" s="117"/>
      <c r="D81" s="117"/>
      <c r="E81" s="120">
        <f>SUM(B81:D81)</f>
        <v>0</v>
      </c>
      <c r="F81" s="117"/>
      <c r="G81" s="117"/>
      <c r="H81" s="120">
        <f>SUM(F81:G81)</f>
        <v>0</v>
      </c>
      <c r="I81" s="117"/>
      <c r="J81" s="117"/>
      <c r="K81" s="117"/>
      <c r="L81" s="117"/>
      <c r="M81" s="117"/>
      <c r="N81" s="120">
        <f>SUM(I81:M81)</f>
        <v>0</v>
      </c>
      <c r="O81" s="117"/>
      <c r="P81" s="117"/>
      <c r="Q81" s="117"/>
      <c r="R81" s="117"/>
      <c r="S81" s="117"/>
      <c r="T81" s="117"/>
      <c r="U81" s="120">
        <f>SUM(O81:T81)</f>
        <v>0</v>
      </c>
      <c r="V81" s="117"/>
      <c r="W81" s="117"/>
      <c r="X81" s="117"/>
      <c r="Y81" s="120">
        <f>SUM(V81:X81)</f>
        <v>0</v>
      </c>
      <c r="Z81" s="117"/>
      <c r="AA81" s="117">
        <f>bev!$D$324</f>
        <v>0</v>
      </c>
      <c r="AB81" s="117"/>
      <c r="AC81" s="120">
        <f>SUM(Z81:AB81)</f>
        <v>0</v>
      </c>
      <c r="AD81" s="131">
        <f t="shared" si="17"/>
        <v>0</v>
      </c>
    </row>
    <row r="82" spans="1:30" ht="12">
      <c r="A82" s="115" t="s">
        <v>1550</v>
      </c>
      <c r="B82" s="117"/>
      <c r="C82" s="117"/>
      <c r="D82" s="117"/>
      <c r="E82" s="120">
        <f>SUM(B82:D82)</f>
        <v>0</v>
      </c>
      <c r="F82" s="117"/>
      <c r="G82" s="117"/>
      <c r="H82" s="120">
        <f>SUM(F82:G82)</f>
        <v>0</v>
      </c>
      <c r="I82" s="117"/>
      <c r="J82" s="117"/>
      <c r="K82" s="117"/>
      <c r="L82" s="117"/>
      <c r="M82" s="117"/>
      <c r="N82" s="120">
        <f>SUM(I82:M82)</f>
        <v>0</v>
      </c>
      <c r="O82" s="117"/>
      <c r="P82" s="117"/>
      <c r="Q82" s="117"/>
      <c r="R82" s="117"/>
      <c r="S82" s="117"/>
      <c r="T82" s="117"/>
      <c r="U82" s="120">
        <f>SUM(O82:T82)</f>
        <v>0</v>
      </c>
      <c r="V82" s="117"/>
      <c r="W82" s="117"/>
      <c r="X82" s="117"/>
      <c r="Y82" s="120">
        <f>SUM(V82:X82)</f>
        <v>0</v>
      </c>
      <c r="Z82" s="117"/>
      <c r="AA82" s="117">
        <f>bev!$D$325</f>
        <v>0</v>
      </c>
      <c r="AB82" s="117"/>
      <c r="AC82" s="120">
        <f>SUM(Z82:AB82)</f>
        <v>0</v>
      </c>
      <c r="AD82" s="131">
        <f t="shared" si="17"/>
        <v>0</v>
      </c>
    </row>
    <row r="83" spans="1:30" ht="12">
      <c r="A83" s="123" t="s">
        <v>1551</v>
      </c>
      <c r="B83" s="124">
        <f aca="true" t="shared" si="32" ref="B83:AD83">SUM(B74:B76)+B80+B81+B82</f>
        <v>0</v>
      </c>
      <c r="C83" s="124"/>
      <c r="D83" s="124">
        <f t="shared" si="32"/>
        <v>0</v>
      </c>
      <c r="E83" s="124">
        <f t="shared" si="32"/>
        <v>0</v>
      </c>
      <c r="F83" s="124">
        <f t="shared" si="32"/>
        <v>0</v>
      </c>
      <c r="G83" s="124">
        <f t="shared" si="32"/>
        <v>0</v>
      </c>
      <c r="H83" s="124">
        <f t="shared" si="32"/>
        <v>0</v>
      </c>
      <c r="I83" s="124">
        <f t="shared" si="32"/>
        <v>0</v>
      </c>
      <c r="J83" s="124">
        <f t="shared" si="32"/>
        <v>0</v>
      </c>
      <c r="K83" s="124">
        <f t="shared" si="32"/>
        <v>0</v>
      </c>
      <c r="L83" s="124">
        <f t="shared" si="32"/>
        <v>0</v>
      </c>
      <c r="M83" s="124">
        <f t="shared" si="32"/>
        <v>0</v>
      </c>
      <c r="N83" s="124">
        <f t="shared" si="32"/>
        <v>0</v>
      </c>
      <c r="O83" s="124">
        <f t="shared" si="32"/>
        <v>0</v>
      </c>
      <c r="P83" s="124">
        <f t="shared" si="32"/>
        <v>0</v>
      </c>
      <c r="Q83" s="124">
        <f t="shared" si="32"/>
        <v>0</v>
      </c>
      <c r="R83" s="124">
        <f t="shared" si="32"/>
        <v>0</v>
      </c>
      <c r="S83" s="124">
        <f t="shared" si="32"/>
        <v>0</v>
      </c>
      <c r="T83" s="124">
        <f t="shared" si="32"/>
        <v>0</v>
      </c>
      <c r="U83" s="124">
        <f t="shared" si="32"/>
        <v>0</v>
      </c>
      <c r="V83" s="124">
        <f t="shared" si="32"/>
        <v>0</v>
      </c>
      <c r="W83" s="124">
        <f t="shared" si="32"/>
        <v>0</v>
      </c>
      <c r="X83" s="124">
        <f t="shared" si="32"/>
        <v>0</v>
      </c>
      <c r="Y83" s="124">
        <f t="shared" si="32"/>
        <v>0</v>
      </c>
      <c r="Z83" s="124">
        <f t="shared" si="32"/>
        <v>0</v>
      </c>
      <c r="AA83" s="124">
        <f t="shared" si="32"/>
        <v>44520</v>
      </c>
      <c r="AB83" s="124">
        <f t="shared" si="32"/>
        <v>0</v>
      </c>
      <c r="AC83" s="124">
        <f t="shared" si="32"/>
        <v>44520</v>
      </c>
      <c r="AD83" s="124">
        <f t="shared" si="32"/>
        <v>44520</v>
      </c>
    </row>
    <row r="84" spans="1:30" ht="12">
      <c r="A84" s="115" t="s">
        <v>1552</v>
      </c>
      <c r="B84" s="117">
        <v>0</v>
      </c>
      <c r="C84" s="117"/>
      <c r="D84" s="117"/>
      <c r="E84" s="120">
        <f>SUM(B84:D84)</f>
        <v>0</v>
      </c>
      <c r="F84" s="117"/>
      <c r="G84" s="117"/>
      <c r="H84" s="120">
        <f>SUM(F84:G84)</f>
        <v>0</v>
      </c>
      <c r="I84" s="117"/>
      <c r="J84" s="117"/>
      <c r="K84" s="117"/>
      <c r="L84" s="117"/>
      <c r="M84" s="117"/>
      <c r="N84" s="120">
        <f>SUM(I84:M84)</f>
        <v>0</v>
      </c>
      <c r="O84" s="117"/>
      <c r="P84" s="117"/>
      <c r="Q84" s="117"/>
      <c r="R84" s="117"/>
      <c r="S84" s="117"/>
      <c r="T84" s="117"/>
      <c r="U84" s="120">
        <f>SUM(O84:T84)</f>
        <v>0</v>
      </c>
      <c r="V84" s="117"/>
      <c r="W84" s="117"/>
      <c r="X84" s="117"/>
      <c r="Y84" s="120">
        <f>SUM(V84:X84)</f>
        <v>0</v>
      </c>
      <c r="Z84" s="117"/>
      <c r="AA84" s="117"/>
      <c r="AB84" s="117"/>
      <c r="AC84" s="120">
        <f>SUM(Z84:AB84)</f>
        <v>0</v>
      </c>
      <c r="AD84" s="131">
        <f t="shared" si="17"/>
        <v>0</v>
      </c>
    </row>
    <row r="85" spans="1:30" ht="12">
      <c r="A85" s="115" t="s">
        <v>1553</v>
      </c>
      <c r="B85" s="117"/>
      <c r="C85" s="117"/>
      <c r="D85" s="117"/>
      <c r="E85" s="120">
        <f>SUM(B85:D85)</f>
        <v>0</v>
      </c>
      <c r="F85" s="117"/>
      <c r="G85" s="117"/>
      <c r="H85" s="120">
        <f>SUM(F85:G85)</f>
        <v>0</v>
      </c>
      <c r="I85" s="117"/>
      <c r="J85" s="117"/>
      <c r="K85" s="117"/>
      <c r="L85" s="117"/>
      <c r="M85" s="117"/>
      <c r="N85" s="120">
        <f>SUM(I85:M85)</f>
        <v>0</v>
      </c>
      <c r="O85" s="117"/>
      <c r="P85" s="117"/>
      <c r="Q85" s="117"/>
      <c r="R85" s="117"/>
      <c r="S85" s="117"/>
      <c r="T85" s="117"/>
      <c r="U85" s="120">
        <f>SUM(O85:T85)</f>
        <v>0</v>
      </c>
      <c r="V85" s="117"/>
      <c r="W85" s="117"/>
      <c r="X85" s="117"/>
      <c r="Y85" s="120">
        <f>SUM(V85:X85)</f>
        <v>0</v>
      </c>
      <c r="Z85" s="117"/>
      <c r="AA85" s="117"/>
      <c r="AB85" s="117"/>
      <c r="AC85" s="120">
        <f>SUM(Z85:AB85)</f>
        <v>0</v>
      </c>
      <c r="AD85" s="131">
        <f t="shared" si="17"/>
        <v>0</v>
      </c>
    </row>
    <row r="86" spans="1:30" ht="12">
      <c r="A86" s="116" t="s">
        <v>1554</v>
      </c>
      <c r="B86" s="118">
        <f aca="true" t="shared" si="33" ref="B86:AD86">SUM(B84:B85)</f>
        <v>0</v>
      </c>
      <c r="C86" s="118"/>
      <c r="D86" s="118">
        <f t="shared" si="33"/>
        <v>0</v>
      </c>
      <c r="E86" s="118">
        <f t="shared" si="33"/>
        <v>0</v>
      </c>
      <c r="F86" s="118">
        <f t="shared" si="33"/>
        <v>0</v>
      </c>
      <c r="G86" s="118">
        <f t="shared" si="33"/>
        <v>0</v>
      </c>
      <c r="H86" s="118">
        <f t="shared" si="33"/>
        <v>0</v>
      </c>
      <c r="I86" s="118">
        <f t="shared" si="33"/>
        <v>0</v>
      </c>
      <c r="J86" s="118">
        <f t="shared" si="33"/>
        <v>0</v>
      </c>
      <c r="K86" s="118">
        <f t="shared" si="33"/>
        <v>0</v>
      </c>
      <c r="L86" s="118">
        <f t="shared" si="33"/>
        <v>0</v>
      </c>
      <c r="M86" s="118">
        <f t="shared" si="33"/>
        <v>0</v>
      </c>
      <c r="N86" s="118">
        <f t="shared" si="33"/>
        <v>0</v>
      </c>
      <c r="O86" s="118">
        <f t="shared" si="33"/>
        <v>0</v>
      </c>
      <c r="P86" s="118">
        <f t="shared" si="33"/>
        <v>0</v>
      </c>
      <c r="Q86" s="118">
        <f t="shared" si="33"/>
        <v>0</v>
      </c>
      <c r="R86" s="118">
        <f t="shared" si="33"/>
        <v>0</v>
      </c>
      <c r="S86" s="118">
        <f t="shared" si="33"/>
        <v>0</v>
      </c>
      <c r="T86" s="118">
        <f t="shared" si="33"/>
        <v>0</v>
      </c>
      <c r="U86" s="118">
        <f t="shared" si="33"/>
        <v>0</v>
      </c>
      <c r="V86" s="118">
        <f t="shared" si="33"/>
        <v>0</v>
      </c>
      <c r="W86" s="118">
        <f t="shared" si="33"/>
        <v>0</v>
      </c>
      <c r="X86" s="118">
        <f t="shared" si="33"/>
        <v>0</v>
      </c>
      <c r="Y86" s="118">
        <f t="shared" si="33"/>
        <v>0</v>
      </c>
      <c r="Z86" s="118">
        <f t="shared" si="33"/>
        <v>0</v>
      </c>
      <c r="AA86" s="118">
        <f t="shared" si="33"/>
        <v>0</v>
      </c>
      <c r="AB86" s="118">
        <f t="shared" si="33"/>
        <v>0</v>
      </c>
      <c r="AC86" s="118">
        <f t="shared" si="33"/>
        <v>0</v>
      </c>
      <c r="AD86" s="118">
        <f t="shared" si="33"/>
        <v>0</v>
      </c>
    </row>
    <row r="87" spans="1:30" ht="12">
      <c r="A87" s="115" t="s">
        <v>1555</v>
      </c>
      <c r="B87" s="117">
        <v>0</v>
      </c>
      <c r="C87" s="117">
        <f>bev!$D$35</f>
        <v>34143</v>
      </c>
      <c r="D87" s="117"/>
      <c r="E87" s="120">
        <f>SUM(B87:D87)</f>
        <v>34143</v>
      </c>
      <c r="F87" s="117"/>
      <c r="G87" s="117"/>
      <c r="H87" s="120">
        <f>SUM(F87:G87)</f>
        <v>0</v>
      </c>
      <c r="I87" s="117"/>
      <c r="J87" s="117"/>
      <c r="K87" s="117"/>
      <c r="L87" s="117"/>
      <c r="M87" s="117"/>
      <c r="N87" s="120">
        <f>SUM(I87:M87)</f>
        <v>0</v>
      </c>
      <c r="O87" s="117"/>
      <c r="P87" s="117"/>
      <c r="Q87" s="117"/>
      <c r="R87" s="117"/>
      <c r="S87" s="117"/>
      <c r="T87" s="117"/>
      <c r="U87" s="120">
        <f>SUM(O87:T87)</f>
        <v>0</v>
      </c>
      <c r="V87" s="117"/>
      <c r="W87" s="117"/>
      <c r="X87" s="117"/>
      <c r="Y87" s="120">
        <f>SUM(V87:X87)</f>
        <v>0</v>
      </c>
      <c r="Z87" s="117"/>
      <c r="AA87" s="117"/>
      <c r="AB87" s="117"/>
      <c r="AC87" s="120">
        <f>SUM(Z87:AB87)</f>
        <v>0</v>
      </c>
      <c r="AD87" s="131">
        <f t="shared" si="17"/>
        <v>34143</v>
      </c>
    </row>
    <row r="88" spans="1:30" ht="12">
      <c r="A88" s="115" t="s">
        <v>1556</v>
      </c>
      <c r="B88" s="117"/>
      <c r="C88" s="117"/>
      <c r="D88" s="117">
        <f>bev!$D$36</f>
        <v>0</v>
      </c>
      <c r="E88" s="120">
        <f>SUM(B88:D88)</f>
        <v>0</v>
      </c>
      <c r="F88" s="117"/>
      <c r="G88" s="117"/>
      <c r="H88" s="120">
        <f>SUM(F88:G88)</f>
        <v>0</v>
      </c>
      <c r="I88" s="117"/>
      <c r="J88" s="117"/>
      <c r="K88" s="117"/>
      <c r="L88" s="117"/>
      <c r="M88" s="117"/>
      <c r="N88" s="120">
        <f>SUM(I88:M88)</f>
        <v>0</v>
      </c>
      <c r="O88" s="117"/>
      <c r="P88" s="117"/>
      <c r="Q88" s="117"/>
      <c r="R88" s="117"/>
      <c r="S88" s="117"/>
      <c r="T88" s="117"/>
      <c r="U88" s="120">
        <f>SUM(O88:T88)</f>
        <v>0</v>
      </c>
      <c r="V88" s="117"/>
      <c r="W88" s="117"/>
      <c r="X88" s="117"/>
      <c r="Y88" s="120">
        <f>SUM(V88:X88)</f>
        <v>0</v>
      </c>
      <c r="Z88" s="117"/>
      <c r="AA88" s="117"/>
      <c r="AB88" s="117"/>
      <c r="AC88" s="120">
        <f>SUM(Z88:AB88)</f>
        <v>0</v>
      </c>
      <c r="AD88" s="131">
        <f t="shared" si="17"/>
        <v>0</v>
      </c>
    </row>
    <row r="89" spans="1:30" ht="12">
      <c r="A89" s="116" t="s">
        <v>1557</v>
      </c>
      <c r="B89" s="118">
        <f aca="true" t="shared" si="34" ref="B89:AD89">SUM(B87:B88)</f>
        <v>0</v>
      </c>
      <c r="C89" s="118">
        <f t="shared" si="34"/>
        <v>34143</v>
      </c>
      <c r="D89" s="118">
        <f t="shared" si="34"/>
        <v>0</v>
      </c>
      <c r="E89" s="118">
        <f t="shared" si="34"/>
        <v>34143</v>
      </c>
      <c r="F89" s="118">
        <f t="shared" si="34"/>
        <v>0</v>
      </c>
      <c r="G89" s="118">
        <f t="shared" si="34"/>
        <v>0</v>
      </c>
      <c r="H89" s="118">
        <f t="shared" si="34"/>
        <v>0</v>
      </c>
      <c r="I89" s="118">
        <f t="shared" si="34"/>
        <v>0</v>
      </c>
      <c r="J89" s="118">
        <f t="shared" si="34"/>
        <v>0</v>
      </c>
      <c r="K89" s="118">
        <f t="shared" si="34"/>
        <v>0</v>
      </c>
      <c r="L89" s="118">
        <f t="shared" si="34"/>
        <v>0</v>
      </c>
      <c r="M89" s="118">
        <f t="shared" si="34"/>
        <v>0</v>
      </c>
      <c r="N89" s="118">
        <f t="shared" si="34"/>
        <v>0</v>
      </c>
      <c r="O89" s="118">
        <f t="shared" si="34"/>
        <v>0</v>
      </c>
      <c r="P89" s="118">
        <f t="shared" si="34"/>
        <v>0</v>
      </c>
      <c r="Q89" s="118">
        <f t="shared" si="34"/>
        <v>0</v>
      </c>
      <c r="R89" s="118">
        <f t="shared" si="34"/>
        <v>0</v>
      </c>
      <c r="S89" s="118">
        <f t="shared" si="34"/>
        <v>0</v>
      </c>
      <c r="T89" s="118">
        <f t="shared" si="34"/>
        <v>0</v>
      </c>
      <c r="U89" s="118">
        <f t="shared" si="34"/>
        <v>0</v>
      </c>
      <c r="V89" s="118">
        <f t="shared" si="34"/>
        <v>0</v>
      </c>
      <c r="W89" s="118">
        <f t="shared" si="34"/>
        <v>0</v>
      </c>
      <c r="X89" s="118">
        <f t="shared" si="34"/>
        <v>0</v>
      </c>
      <c r="Y89" s="118">
        <f t="shared" si="34"/>
        <v>0</v>
      </c>
      <c r="Z89" s="118">
        <f t="shared" si="34"/>
        <v>0</v>
      </c>
      <c r="AA89" s="118">
        <f t="shared" si="34"/>
        <v>0</v>
      </c>
      <c r="AB89" s="118">
        <f t="shared" si="34"/>
        <v>0</v>
      </c>
      <c r="AC89" s="118">
        <f t="shared" si="34"/>
        <v>0</v>
      </c>
      <c r="AD89" s="118">
        <f t="shared" si="34"/>
        <v>34143</v>
      </c>
    </row>
    <row r="90" spans="1:30" ht="12">
      <c r="A90" s="125" t="s">
        <v>782</v>
      </c>
      <c r="B90" s="126">
        <f aca="true" t="shared" si="35" ref="B90:AD90">B31+B41+B45+B49+B55+B56+B73+B83+B86+B89</f>
        <v>10</v>
      </c>
      <c r="C90" s="126">
        <f t="shared" si="35"/>
        <v>34143</v>
      </c>
      <c r="D90" s="126">
        <f t="shared" si="35"/>
        <v>1592</v>
      </c>
      <c r="E90" s="126">
        <f t="shared" si="35"/>
        <v>35745</v>
      </c>
      <c r="F90" s="126">
        <f t="shared" si="35"/>
        <v>0</v>
      </c>
      <c r="G90" s="126">
        <f t="shared" si="35"/>
        <v>0</v>
      </c>
      <c r="H90" s="126">
        <f t="shared" si="35"/>
        <v>0</v>
      </c>
      <c r="I90" s="126">
        <f t="shared" si="35"/>
        <v>0</v>
      </c>
      <c r="J90" s="126">
        <f t="shared" si="35"/>
        <v>94</v>
      </c>
      <c r="K90" s="126">
        <f t="shared" si="35"/>
        <v>5</v>
      </c>
      <c r="L90" s="126">
        <f t="shared" si="35"/>
        <v>0</v>
      </c>
      <c r="M90" s="126">
        <f t="shared" si="35"/>
        <v>0</v>
      </c>
      <c r="N90" s="126">
        <f t="shared" si="35"/>
        <v>99</v>
      </c>
      <c r="O90" s="126">
        <f t="shared" si="35"/>
        <v>0</v>
      </c>
      <c r="P90" s="126">
        <f t="shared" si="35"/>
        <v>0</v>
      </c>
      <c r="Q90" s="126">
        <f t="shared" si="35"/>
        <v>3490</v>
      </c>
      <c r="R90" s="126">
        <f t="shared" si="35"/>
        <v>0</v>
      </c>
      <c r="S90" s="126">
        <f t="shared" si="35"/>
        <v>0</v>
      </c>
      <c r="T90" s="126">
        <f t="shared" si="35"/>
        <v>193</v>
      </c>
      <c r="U90" s="126">
        <f t="shared" si="35"/>
        <v>3683</v>
      </c>
      <c r="V90" s="126">
        <f t="shared" si="35"/>
        <v>717</v>
      </c>
      <c r="W90" s="126">
        <f t="shared" si="35"/>
        <v>2195</v>
      </c>
      <c r="X90" s="126">
        <f t="shared" si="35"/>
        <v>665</v>
      </c>
      <c r="Y90" s="126">
        <f t="shared" si="35"/>
        <v>3577</v>
      </c>
      <c r="Z90" s="126">
        <f t="shared" si="35"/>
        <v>0</v>
      </c>
      <c r="AA90" s="126">
        <f t="shared" si="35"/>
        <v>77663</v>
      </c>
      <c r="AB90" s="126">
        <f t="shared" si="35"/>
        <v>0</v>
      </c>
      <c r="AC90" s="126">
        <f t="shared" si="35"/>
        <v>77663</v>
      </c>
      <c r="AD90" s="126">
        <f t="shared" si="35"/>
        <v>120767</v>
      </c>
    </row>
    <row r="91" spans="1:30" s="9" customFormat="1" ht="12">
      <c r="A91" s="143" t="s">
        <v>144</v>
      </c>
      <c r="B91" s="144">
        <f>B31+B49+B55+B56+B73+B83+B84+B87</f>
        <v>10</v>
      </c>
      <c r="C91" s="144">
        <f>C31+C49+C55+C56+C73+C83+C84+C87</f>
        <v>34143</v>
      </c>
      <c r="D91" s="144">
        <f>D31+D49+D55+D56+D73+D83+D84+D87</f>
        <v>1592</v>
      </c>
      <c r="E91" s="144">
        <f>SUM(B91:D91)</f>
        <v>35745</v>
      </c>
      <c r="F91" s="144">
        <f>F31+F49+F55+F56+F73+F83+F84+F87</f>
        <v>0</v>
      </c>
      <c r="G91" s="144">
        <f>G31+G49+G55+G56+G73+G83+G84+G87</f>
        <v>0</v>
      </c>
      <c r="H91" s="144">
        <f>SUM(F91:G91)</f>
        <v>0</v>
      </c>
      <c r="I91" s="144">
        <f>I31+I49+I55+I56+I73+I83+I84+I87</f>
        <v>0</v>
      </c>
      <c r="J91" s="144">
        <f>J31+J49+J55+J56+J73+J83+J84+J87</f>
        <v>94</v>
      </c>
      <c r="K91" s="144">
        <f>K31+K49+K55+K56+K73+K83+K84+K87</f>
        <v>5</v>
      </c>
      <c r="L91" s="144">
        <f>L31+L49+L55+L56+L73+L83+L84+L87</f>
        <v>0</v>
      </c>
      <c r="M91" s="144">
        <f>M31+M49+M55+M56+M73+M83+M84+M87</f>
        <v>0</v>
      </c>
      <c r="N91" s="144">
        <f>SUM(I91:M91)</f>
        <v>99</v>
      </c>
      <c r="O91" s="144">
        <f aca="true" t="shared" si="36" ref="O91:T91">O31+O49+O55+O56+O73+O83+O84+O87</f>
        <v>0</v>
      </c>
      <c r="P91" s="144">
        <f t="shared" si="36"/>
        <v>0</v>
      </c>
      <c r="Q91" s="144">
        <f t="shared" si="36"/>
        <v>3490</v>
      </c>
      <c r="R91" s="144">
        <f t="shared" si="36"/>
        <v>0</v>
      </c>
      <c r="S91" s="144">
        <f t="shared" si="36"/>
        <v>0</v>
      </c>
      <c r="T91" s="144">
        <f t="shared" si="36"/>
        <v>193</v>
      </c>
      <c r="U91" s="144">
        <f>SUM(O91:T91)</f>
        <v>3683</v>
      </c>
      <c r="V91" s="144">
        <f>V31+V49+V55+V56+V73+V83+V84+V87</f>
        <v>717</v>
      </c>
      <c r="W91" s="144">
        <f>W31+W49+W55+W56+W73+W83+W84+W87</f>
        <v>2195</v>
      </c>
      <c r="X91" s="144">
        <f>X31+X49+X55+X56+X73+X83+X84+X87</f>
        <v>665</v>
      </c>
      <c r="Y91" s="144">
        <f>SUM(V91:X91)</f>
        <v>3577</v>
      </c>
      <c r="Z91" s="144">
        <f>Z31+Z49+Z55+Z56+Z73+Z83+Z84+Z87</f>
        <v>0</v>
      </c>
      <c r="AA91" s="144">
        <f>AA31+AA49+AA55+AA56+AA73-AA81-AA82+AA83+AA84+AA87-(bev!$D$297)-AA57</f>
        <v>73593</v>
      </c>
      <c r="AB91" s="144">
        <f>AB31+AB49+AB55+AB56+AB73+AB83+AB84+AB87</f>
        <v>0</v>
      </c>
      <c r="AC91" s="144">
        <f>SUM(Z91:AB91)</f>
        <v>73593</v>
      </c>
      <c r="AD91" s="144">
        <f>E91+H91+N91+U91+Y91+AC91</f>
        <v>116697</v>
      </c>
    </row>
    <row r="92" spans="1:30" s="9" customFormat="1" ht="12">
      <c r="A92" s="143" t="s">
        <v>1627</v>
      </c>
      <c r="B92" s="144">
        <f>B41+B45+B85+B88</f>
        <v>0</v>
      </c>
      <c r="C92" s="144">
        <f>C41+C45+C85+C88</f>
        <v>0</v>
      </c>
      <c r="D92" s="144">
        <f>D41+D45+D85+D88</f>
        <v>0</v>
      </c>
      <c r="E92" s="144">
        <f>SUM(B92:D92)</f>
        <v>0</v>
      </c>
      <c r="F92" s="144">
        <f>F41+F45+F85+F88</f>
        <v>0</v>
      </c>
      <c r="G92" s="144">
        <f>G41+G45+G85+G88</f>
        <v>0</v>
      </c>
      <c r="H92" s="144">
        <f>SUM(F92:G92)</f>
        <v>0</v>
      </c>
      <c r="I92" s="144">
        <f>I41+I45+I85+I88</f>
        <v>0</v>
      </c>
      <c r="J92" s="144">
        <f>J41+J45+J85+J88</f>
        <v>0</v>
      </c>
      <c r="K92" s="144">
        <f>K41+K45+K85+K88</f>
        <v>0</v>
      </c>
      <c r="L92" s="144">
        <f>L41+L45+L85+L88</f>
        <v>0</v>
      </c>
      <c r="M92" s="144">
        <f>M41+M45+M85+M88</f>
        <v>0</v>
      </c>
      <c r="N92" s="144">
        <f>SUM(I92:M92)</f>
        <v>0</v>
      </c>
      <c r="O92" s="144">
        <f aca="true" t="shared" si="37" ref="O92:T92">O41+O45+O85+O88</f>
        <v>0</v>
      </c>
      <c r="P92" s="144">
        <f t="shared" si="37"/>
        <v>0</v>
      </c>
      <c r="Q92" s="144">
        <f t="shared" si="37"/>
        <v>0</v>
      </c>
      <c r="R92" s="144">
        <f t="shared" si="37"/>
        <v>0</v>
      </c>
      <c r="S92" s="144">
        <f t="shared" si="37"/>
        <v>0</v>
      </c>
      <c r="T92" s="144">
        <f t="shared" si="37"/>
        <v>0</v>
      </c>
      <c r="U92" s="144">
        <f>SUM(O92:T92)</f>
        <v>0</v>
      </c>
      <c r="V92" s="144">
        <f>V41+V45+V85+V88</f>
        <v>0</v>
      </c>
      <c r="W92" s="144">
        <f>W41+W45+W85+W88</f>
        <v>0</v>
      </c>
      <c r="X92" s="144">
        <f>X41+X45+X85+X88</f>
        <v>0</v>
      </c>
      <c r="Y92" s="144">
        <f>SUM(V92:X92)</f>
        <v>0</v>
      </c>
      <c r="Z92" s="144">
        <f>Z41+Z45+Z85+Z88</f>
        <v>0</v>
      </c>
      <c r="AA92" s="144">
        <f>AA41+AA45+AA81+AA82+AA85+AA88+(bev!$D$297)+AA57</f>
        <v>4070</v>
      </c>
      <c r="AB92" s="144">
        <f>AB41+AB45+AB85+AB88</f>
        <v>0</v>
      </c>
      <c r="AC92" s="144">
        <f>SUM(Z92:AB92)</f>
        <v>4070</v>
      </c>
      <c r="AD92" s="144">
        <f>E92+H92+N92+U92+Y92+AC92</f>
        <v>4070</v>
      </c>
    </row>
    <row r="93" spans="1:30" s="9" customFormat="1" ht="12">
      <c r="A93" s="143" t="s">
        <v>782</v>
      </c>
      <c r="B93" s="144">
        <f>SUM(B91:B92)</f>
        <v>10</v>
      </c>
      <c r="C93" s="144">
        <f>SUM(C91:C92)</f>
        <v>34143</v>
      </c>
      <c r="D93" s="144">
        <f>SUM(D91:D92)</f>
        <v>1592</v>
      </c>
      <c r="E93" s="144">
        <f>SUM(B93:D93)</f>
        <v>35745</v>
      </c>
      <c r="F93" s="144">
        <f>SUM(F91:F92)</f>
        <v>0</v>
      </c>
      <c r="G93" s="144">
        <f>SUM(G91:G92)</f>
        <v>0</v>
      </c>
      <c r="H93" s="144">
        <f>SUM(F93:G93)</f>
        <v>0</v>
      </c>
      <c r="I93" s="144">
        <f>SUM(I91:I92)</f>
        <v>0</v>
      </c>
      <c r="J93" s="144">
        <f>SUM(J91:J92)</f>
        <v>94</v>
      </c>
      <c r="K93" s="144">
        <f>SUM(K91:K92)</f>
        <v>5</v>
      </c>
      <c r="L93" s="144">
        <f>SUM(L91:L92)</f>
        <v>0</v>
      </c>
      <c r="M93" s="144">
        <f>SUM(M91:M92)</f>
        <v>0</v>
      </c>
      <c r="N93" s="144">
        <f>SUM(I93:M93)</f>
        <v>99</v>
      </c>
      <c r="O93" s="144">
        <f aca="true" t="shared" si="38" ref="O93:T93">SUM(O91:O92)</f>
        <v>0</v>
      </c>
      <c r="P93" s="144">
        <f t="shared" si="38"/>
        <v>0</v>
      </c>
      <c r="Q93" s="144">
        <f t="shared" si="38"/>
        <v>3490</v>
      </c>
      <c r="R93" s="144">
        <f t="shared" si="38"/>
        <v>0</v>
      </c>
      <c r="S93" s="144">
        <f t="shared" si="38"/>
        <v>0</v>
      </c>
      <c r="T93" s="144">
        <f t="shared" si="38"/>
        <v>193</v>
      </c>
      <c r="U93" s="144">
        <f>SUM(O93:T93)</f>
        <v>3683</v>
      </c>
      <c r="V93" s="144">
        <f>SUM(V91:V92)</f>
        <v>717</v>
      </c>
      <c r="W93" s="144">
        <f>SUM(W91:W92)</f>
        <v>2195</v>
      </c>
      <c r="X93" s="144">
        <f>SUM(X91:X92)</f>
        <v>665</v>
      </c>
      <c r="Y93" s="144">
        <f>SUM(V93:X93)</f>
        <v>3577</v>
      </c>
      <c r="Z93" s="144">
        <f>SUM(Z91:Z92)</f>
        <v>0</v>
      </c>
      <c r="AA93" s="144">
        <f>SUM(AA91:AA92)</f>
        <v>77663</v>
      </c>
      <c r="AB93" s="144">
        <f>SUM(AB91:AB92)</f>
        <v>0</v>
      </c>
      <c r="AC93" s="144">
        <f>SUM(Z93:AB93)</f>
        <v>77663</v>
      </c>
      <c r="AD93" s="144">
        <f>E93+H93+N93+U93+Y93+AC93</f>
        <v>120767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163"/>
  <sheetViews>
    <sheetView workbookViewId="0" topLeftCell="A1">
      <pane xSplit="1" ySplit="1" topLeftCell="AF14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65" sqref="A165"/>
    </sheetView>
  </sheetViews>
  <sheetFormatPr defaultColWidth="9.00390625" defaultRowHeight="12.75"/>
  <cols>
    <col min="1" max="1" width="53.875" style="37" bestFit="1" customWidth="1"/>
    <col min="2" max="2" width="9.375" style="55" bestFit="1" customWidth="1"/>
    <col min="3" max="4" width="9.125" style="55" customWidth="1"/>
    <col min="5" max="5" width="12.25390625" style="55" customWidth="1"/>
    <col min="6" max="6" width="10.625" style="55" customWidth="1"/>
    <col min="7" max="7" width="10.00390625" style="55" customWidth="1"/>
    <col min="8" max="9" width="9.125" style="55" customWidth="1"/>
    <col min="10" max="10" width="9.375" style="55" bestFit="1" customWidth="1"/>
    <col min="11" max="20" width="9.125" style="55" customWidth="1"/>
    <col min="21" max="21" width="9.375" style="55" bestFit="1" customWidth="1"/>
    <col min="22" max="24" width="9.125" style="55" customWidth="1"/>
    <col min="25" max="25" width="9.375" style="55" bestFit="1" customWidth="1"/>
    <col min="26" max="30" width="9.125" style="55" customWidth="1"/>
    <col min="31" max="31" width="9.375" style="55" bestFit="1" customWidth="1"/>
    <col min="32" max="33" width="9.125" style="55" customWidth="1"/>
    <col min="34" max="34" width="10.375" style="55" bestFit="1" customWidth="1"/>
    <col min="35" max="35" width="9.125" style="55" customWidth="1"/>
    <col min="36" max="16384" width="9.125" style="37" customWidth="1"/>
  </cols>
  <sheetData>
    <row r="1" spans="1:34" ht="63" customHeight="1">
      <c r="A1" s="115" t="s">
        <v>1426</v>
      </c>
      <c r="B1" s="288" t="s">
        <v>1572</v>
      </c>
      <c r="C1" s="288" t="s">
        <v>546</v>
      </c>
      <c r="D1" s="269" t="s">
        <v>1099</v>
      </c>
      <c r="E1" s="276" t="s">
        <v>1558</v>
      </c>
      <c r="F1" s="269" t="s">
        <v>1024</v>
      </c>
      <c r="G1" s="269" t="s">
        <v>1025</v>
      </c>
      <c r="H1" s="276" t="s">
        <v>1026</v>
      </c>
      <c r="I1" s="288" t="s">
        <v>666</v>
      </c>
      <c r="J1" s="288" t="s">
        <v>667</v>
      </c>
      <c r="K1" s="288" t="s">
        <v>668</v>
      </c>
      <c r="L1" s="288" t="s">
        <v>669</v>
      </c>
      <c r="M1" s="288" t="s">
        <v>670</v>
      </c>
      <c r="N1" s="288" t="s">
        <v>831</v>
      </c>
      <c r="O1" s="276" t="s">
        <v>1011</v>
      </c>
      <c r="P1" s="288" t="s">
        <v>671</v>
      </c>
      <c r="Q1" s="289" t="s">
        <v>1559</v>
      </c>
      <c r="R1" s="289" t="s">
        <v>673</v>
      </c>
      <c r="S1" s="288" t="s">
        <v>20</v>
      </c>
      <c r="T1" s="288" t="s">
        <v>569</v>
      </c>
      <c r="U1" s="288" t="s">
        <v>570</v>
      </c>
      <c r="V1" s="288" t="s">
        <v>1447</v>
      </c>
      <c r="W1" s="117"/>
      <c r="X1" s="119" t="s">
        <v>76</v>
      </c>
      <c r="Y1" s="117">
        <v>624</v>
      </c>
      <c r="Z1" s="288" t="s">
        <v>675</v>
      </c>
      <c r="AA1" s="288" t="s">
        <v>676</v>
      </c>
      <c r="AB1" s="288" t="s">
        <v>677</v>
      </c>
      <c r="AC1" s="288" t="s">
        <v>158</v>
      </c>
      <c r="AD1" s="119" t="s">
        <v>77</v>
      </c>
      <c r="AE1" s="288" t="s">
        <v>678</v>
      </c>
      <c r="AF1" s="288" t="s">
        <v>680</v>
      </c>
      <c r="AG1" s="276" t="s">
        <v>78</v>
      </c>
      <c r="AH1" s="130" t="s">
        <v>784</v>
      </c>
    </row>
    <row r="2" spans="1:34" ht="12">
      <c r="A2" s="115" t="s">
        <v>785</v>
      </c>
      <c r="B2" s="117">
        <f>hiv!D53</f>
        <v>4779</v>
      </c>
      <c r="C2" s="117"/>
      <c r="D2" s="117">
        <f>körj!D18</f>
        <v>1732</v>
      </c>
      <c r="E2" s="120">
        <f aca="true" t="shared" si="0" ref="E2:E7">SUM(B2:D2)</f>
        <v>6511</v>
      </c>
      <c r="F2" s="117">
        <f>isk!D16</f>
        <v>1137</v>
      </c>
      <c r="G2" s="117"/>
      <c r="H2" s="120">
        <f aca="true" t="shared" si="1" ref="H2:H7">SUM(F2:G2)</f>
        <v>1137</v>
      </c>
      <c r="I2" s="117">
        <v>0</v>
      </c>
      <c r="J2" s="117">
        <f>teü!$D$32</f>
        <v>1008</v>
      </c>
      <c r="K2" s="117"/>
      <c r="L2" s="117"/>
      <c r="M2" s="117"/>
      <c r="N2" s="117"/>
      <c r="O2" s="120">
        <f aca="true" t="shared" si="2" ref="O2:O7">SUM(I2:N2)</f>
        <v>1008</v>
      </c>
      <c r="P2" s="117">
        <f>fsp!$D$51</f>
        <v>2846</v>
      </c>
      <c r="Q2" s="117"/>
      <c r="R2" s="117">
        <f>fsp!$D$110</f>
        <v>1256</v>
      </c>
      <c r="S2" s="117"/>
      <c r="T2" s="117"/>
      <c r="U2" s="117"/>
      <c r="V2" s="117"/>
      <c r="W2" s="117"/>
      <c r="X2" s="120">
        <f aca="true" t="shared" si="3" ref="X2:X7">SUM(P2:W2)</f>
        <v>4102</v>
      </c>
      <c r="Y2" s="117">
        <f>iét!$D$68</f>
        <v>3704</v>
      </c>
      <c r="Z2" s="117">
        <f>Y2*iét!$D$226</f>
        <v>752.5349468137272</v>
      </c>
      <c r="AA2" s="117">
        <f>Y2*iét!$D$227</f>
        <v>2304.96684699326</v>
      </c>
      <c r="AB2" s="117">
        <f>Y2*iét!$D$228</f>
        <v>646.4982061930127</v>
      </c>
      <c r="AC2" s="117">
        <f>Y2*iét!$D$229</f>
        <v>0</v>
      </c>
      <c r="AD2" s="120">
        <f>SUM(Z2:AC2)</f>
        <v>3703.9999999999995</v>
      </c>
      <c r="AE2" s="117"/>
      <c r="AF2" s="117">
        <f>elsz!D39</f>
        <v>1744</v>
      </c>
      <c r="AG2" s="120">
        <f aca="true" t="shared" si="4" ref="AG2:AG7">SUM(AE2:AF2)</f>
        <v>1744</v>
      </c>
      <c r="AH2" s="131">
        <f>E2+H2+O2+X2+AD2+AG2</f>
        <v>18206</v>
      </c>
    </row>
    <row r="3" spans="1:34" ht="12">
      <c r="A3" s="115" t="s">
        <v>767</v>
      </c>
      <c r="B3" s="117"/>
      <c r="C3" s="117"/>
      <c r="D3" s="117"/>
      <c r="E3" s="120">
        <f t="shared" si="0"/>
        <v>0</v>
      </c>
      <c r="F3" s="117"/>
      <c r="G3" s="117"/>
      <c r="H3" s="120">
        <f t="shared" si="1"/>
        <v>0</v>
      </c>
      <c r="I3" s="117"/>
      <c r="J3" s="117"/>
      <c r="K3" s="117"/>
      <c r="L3" s="117"/>
      <c r="M3" s="117"/>
      <c r="N3" s="117"/>
      <c r="O3" s="120">
        <f t="shared" si="2"/>
        <v>0</v>
      </c>
      <c r="P3" s="117"/>
      <c r="Q3" s="117"/>
      <c r="R3" s="117"/>
      <c r="S3" s="117"/>
      <c r="T3" s="117"/>
      <c r="U3" s="117"/>
      <c r="V3" s="117"/>
      <c r="W3" s="117"/>
      <c r="X3" s="120">
        <f t="shared" si="3"/>
        <v>0</v>
      </c>
      <c r="Y3" s="117"/>
      <c r="Z3" s="117">
        <f>Y3*iét!$D$226</f>
        <v>0</v>
      </c>
      <c r="AA3" s="117">
        <f>Y3*iét!$D$227</f>
        <v>0</v>
      </c>
      <c r="AB3" s="117">
        <f>Y3*iét!$D$228</f>
        <v>0</v>
      </c>
      <c r="AC3" s="117">
        <f>Y3*iét!$D$229</f>
        <v>0</v>
      </c>
      <c r="AD3" s="120">
        <f aca="true" t="shared" si="5" ref="AD3:AD66">SUM(Z3:AC3)</f>
        <v>0</v>
      </c>
      <c r="AE3" s="117"/>
      <c r="AF3" s="117"/>
      <c r="AG3" s="120">
        <f t="shared" si="4"/>
        <v>0</v>
      </c>
      <c r="AH3" s="131">
        <f aca="true" t="shared" si="6" ref="AH3:AH35">E3+H3+O3+X3+AD3+AG3</f>
        <v>0</v>
      </c>
    </row>
    <row r="4" spans="1:34" ht="12">
      <c r="A4" s="115" t="s">
        <v>786</v>
      </c>
      <c r="B4" s="117"/>
      <c r="C4" s="117"/>
      <c r="D4" s="117"/>
      <c r="E4" s="120">
        <f t="shared" si="0"/>
        <v>0</v>
      </c>
      <c r="F4" s="117"/>
      <c r="G4" s="117"/>
      <c r="H4" s="120">
        <f t="shared" si="1"/>
        <v>0</v>
      </c>
      <c r="I4" s="117"/>
      <c r="J4" s="117"/>
      <c r="K4" s="117"/>
      <c r="L4" s="117"/>
      <c r="M4" s="117"/>
      <c r="N4" s="117"/>
      <c r="O4" s="120">
        <f t="shared" si="2"/>
        <v>0</v>
      </c>
      <c r="P4" s="117"/>
      <c r="Q4" s="117"/>
      <c r="R4" s="117"/>
      <c r="S4" s="117"/>
      <c r="T4" s="117"/>
      <c r="U4" s="117"/>
      <c r="V4" s="117"/>
      <c r="W4" s="117"/>
      <c r="X4" s="120">
        <f t="shared" si="3"/>
        <v>0</v>
      </c>
      <c r="Y4" s="117"/>
      <c r="Z4" s="117">
        <f>Y4*iét!$D$226</f>
        <v>0</v>
      </c>
      <c r="AA4" s="117">
        <f>Y4*iét!$D$227</f>
        <v>0</v>
      </c>
      <c r="AB4" s="117">
        <f>Y4*iét!$D$228</f>
        <v>0</v>
      </c>
      <c r="AC4" s="117">
        <f>Y4*iét!$D$229</f>
        <v>0</v>
      </c>
      <c r="AD4" s="120">
        <f t="shared" si="5"/>
        <v>0</v>
      </c>
      <c r="AE4" s="117"/>
      <c r="AF4" s="117"/>
      <c r="AG4" s="120">
        <f t="shared" si="4"/>
        <v>0</v>
      </c>
      <c r="AH4" s="131">
        <f t="shared" si="6"/>
        <v>0</v>
      </c>
    </row>
    <row r="5" spans="1:34" ht="12">
      <c r="A5" s="115" t="s">
        <v>787</v>
      </c>
      <c r="B5" s="117"/>
      <c r="C5" s="117"/>
      <c r="D5" s="117">
        <f>körj!D24</f>
        <v>290</v>
      </c>
      <c r="E5" s="120">
        <f t="shared" si="0"/>
        <v>290</v>
      </c>
      <c r="F5" s="117"/>
      <c r="G5" s="117"/>
      <c r="H5" s="120">
        <f t="shared" si="1"/>
        <v>0</v>
      </c>
      <c r="I5" s="117"/>
      <c r="J5" s="117"/>
      <c r="K5" s="117"/>
      <c r="L5" s="117"/>
      <c r="M5" s="117"/>
      <c r="N5" s="117"/>
      <c r="O5" s="120">
        <f t="shared" si="2"/>
        <v>0</v>
      </c>
      <c r="P5" s="117"/>
      <c r="Q5" s="117"/>
      <c r="R5" s="117"/>
      <c r="S5" s="117"/>
      <c r="T5" s="117"/>
      <c r="U5" s="117"/>
      <c r="V5" s="117"/>
      <c r="W5" s="117"/>
      <c r="X5" s="120">
        <f t="shared" si="3"/>
        <v>0</v>
      </c>
      <c r="Y5" s="117"/>
      <c r="Z5" s="117">
        <f>Y5*iét!$D$226</f>
        <v>0</v>
      </c>
      <c r="AA5" s="117">
        <f>Y5*iét!$D$227</f>
        <v>0</v>
      </c>
      <c r="AB5" s="117">
        <f>Y5*iét!$D$228</f>
        <v>0</v>
      </c>
      <c r="AC5" s="117">
        <f>Y5*iét!$D$229</f>
        <v>0</v>
      </c>
      <c r="AD5" s="120">
        <f t="shared" si="5"/>
        <v>0</v>
      </c>
      <c r="AE5" s="117"/>
      <c r="AF5" s="117"/>
      <c r="AG5" s="120">
        <f t="shared" si="4"/>
        <v>0</v>
      </c>
      <c r="AH5" s="131">
        <f t="shared" si="6"/>
        <v>290</v>
      </c>
    </row>
    <row r="6" spans="1:34" ht="12">
      <c r="A6" s="115" t="s">
        <v>60</v>
      </c>
      <c r="B6" s="117"/>
      <c r="C6" s="117"/>
      <c r="D6" s="117"/>
      <c r="E6" s="120">
        <f t="shared" si="0"/>
        <v>0</v>
      </c>
      <c r="F6" s="117"/>
      <c r="G6" s="117"/>
      <c r="H6" s="120">
        <f t="shared" si="1"/>
        <v>0</v>
      </c>
      <c r="I6" s="117"/>
      <c r="J6" s="117"/>
      <c r="K6" s="117"/>
      <c r="L6" s="117"/>
      <c r="M6" s="117"/>
      <c r="N6" s="117"/>
      <c r="O6" s="120">
        <f t="shared" si="2"/>
        <v>0</v>
      </c>
      <c r="P6" s="117"/>
      <c r="Q6" s="117"/>
      <c r="R6" s="117"/>
      <c r="S6" s="117"/>
      <c r="T6" s="117"/>
      <c r="U6" s="117"/>
      <c r="V6" s="117"/>
      <c r="W6" s="117"/>
      <c r="X6" s="120">
        <f t="shared" si="3"/>
        <v>0</v>
      </c>
      <c r="Y6" s="117"/>
      <c r="Z6" s="117">
        <f>Y6*iét!$D$226</f>
        <v>0</v>
      </c>
      <c r="AA6" s="117">
        <f>Y6*iét!$D$227</f>
        <v>0</v>
      </c>
      <c r="AB6" s="117">
        <f>Y6*iét!$D$228</f>
        <v>0</v>
      </c>
      <c r="AC6" s="117">
        <f>Y6*iét!$D$229</f>
        <v>0</v>
      </c>
      <c r="AD6" s="120">
        <f t="shared" si="5"/>
        <v>0</v>
      </c>
      <c r="AE6" s="117"/>
      <c r="AF6" s="117"/>
      <c r="AG6" s="120">
        <f t="shared" si="4"/>
        <v>0</v>
      </c>
      <c r="AH6" s="131">
        <f t="shared" si="6"/>
        <v>0</v>
      </c>
    </row>
    <row r="7" spans="1:34" ht="12">
      <c r="A7" s="115" t="s">
        <v>61</v>
      </c>
      <c r="B7" s="117"/>
      <c r="C7" s="117"/>
      <c r="D7" s="117"/>
      <c r="E7" s="120">
        <f t="shared" si="0"/>
        <v>0</v>
      </c>
      <c r="F7" s="117"/>
      <c r="G7" s="117"/>
      <c r="H7" s="120">
        <f t="shared" si="1"/>
        <v>0</v>
      </c>
      <c r="I7" s="117"/>
      <c r="J7" s="117"/>
      <c r="K7" s="117"/>
      <c r="L7" s="117"/>
      <c r="M7" s="117"/>
      <c r="N7" s="117"/>
      <c r="O7" s="120">
        <f t="shared" si="2"/>
        <v>0</v>
      </c>
      <c r="P7" s="117"/>
      <c r="Q7" s="117"/>
      <c r="R7" s="117"/>
      <c r="S7" s="117"/>
      <c r="T7" s="117"/>
      <c r="U7" s="117"/>
      <c r="V7" s="117"/>
      <c r="W7" s="117"/>
      <c r="X7" s="120">
        <f t="shared" si="3"/>
        <v>0</v>
      </c>
      <c r="Y7" s="117"/>
      <c r="Z7" s="117">
        <f>Y7*iét!$D$226</f>
        <v>0</v>
      </c>
      <c r="AA7" s="117">
        <f>Y7*iét!$D$227</f>
        <v>0</v>
      </c>
      <c r="AB7" s="117">
        <f>Y7*iét!$D$228</f>
        <v>0</v>
      </c>
      <c r="AC7" s="117">
        <f>Y7*iét!$D$229</f>
        <v>0</v>
      </c>
      <c r="AD7" s="120">
        <f t="shared" si="5"/>
        <v>0</v>
      </c>
      <c r="AE7" s="117"/>
      <c r="AF7" s="117"/>
      <c r="AG7" s="120">
        <f t="shared" si="4"/>
        <v>0</v>
      </c>
      <c r="AH7" s="131">
        <f t="shared" si="6"/>
        <v>0</v>
      </c>
    </row>
    <row r="8" spans="1:34" ht="12">
      <c r="A8" s="121" t="s">
        <v>62</v>
      </c>
      <c r="B8" s="122">
        <f aca="true" t="shared" si="7" ref="B8:AH8">SUM(B2:B7)</f>
        <v>4779</v>
      </c>
      <c r="C8" s="122"/>
      <c r="D8" s="122">
        <f t="shared" si="7"/>
        <v>2022</v>
      </c>
      <c r="E8" s="122">
        <f t="shared" si="7"/>
        <v>6801</v>
      </c>
      <c r="F8" s="122">
        <f t="shared" si="7"/>
        <v>1137</v>
      </c>
      <c r="G8" s="122">
        <f t="shared" si="7"/>
        <v>0</v>
      </c>
      <c r="H8" s="122">
        <f t="shared" si="7"/>
        <v>1137</v>
      </c>
      <c r="I8" s="122">
        <f t="shared" si="7"/>
        <v>0</v>
      </c>
      <c r="J8" s="122">
        <f t="shared" si="7"/>
        <v>1008</v>
      </c>
      <c r="K8" s="122">
        <f t="shared" si="7"/>
        <v>0</v>
      </c>
      <c r="L8" s="122">
        <f t="shared" si="7"/>
        <v>0</v>
      </c>
      <c r="M8" s="122">
        <f t="shared" si="7"/>
        <v>0</v>
      </c>
      <c r="N8" s="122">
        <f t="shared" si="7"/>
        <v>0</v>
      </c>
      <c r="O8" s="122">
        <f t="shared" si="7"/>
        <v>1008</v>
      </c>
      <c r="P8" s="122">
        <f t="shared" si="7"/>
        <v>2846</v>
      </c>
      <c r="Q8" s="122">
        <f t="shared" si="7"/>
        <v>0</v>
      </c>
      <c r="R8" s="122">
        <f t="shared" si="7"/>
        <v>1256</v>
      </c>
      <c r="S8" s="122">
        <f t="shared" si="7"/>
        <v>0</v>
      </c>
      <c r="T8" s="122">
        <f t="shared" si="7"/>
        <v>0</v>
      </c>
      <c r="U8" s="122">
        <f>SUM(U2:U7)</f>
        <v>0</v>
      </c>
      <c r="V8" s="122">
        <f>SUM(V2:V7)</f>
        <v>0</v>
      </c>
      <c r="W8" s="122">
        <f>SUM(W2:W7)</f>
        <v>0</v>
      </c>
      <c r="X8" s="122">
        <f t="shared" si="7"/>
        <v>4102</v>
      </c>
      <c r="Y8" s="122">
        <f t="shared" si="7"/>
        <v>3704</v>
      </c>
      <c r="Z8" s="122">
        <f t="shared" si="7"/>
        <v>752.5349468137272</v>
      </c>
      <c r="AA8" s="122">
        <f t="shared" si="7"/>
        <v>2304.96684699326</v>
      </c>
      <c r="AB8" s="122">
        <f t="shared" si="7"/>
        <v>646.4982061930127</v>
      </c>
      <c r="AC8" s="122">
        <f t="shared" si="7"/>
        <v>0</v>
      </c>
      <c r="AD8" s="122">
        <f t="shared" si="7"/>
        <v>3703.9999999999995</v>
      </c>
      <c r="AE8" s="122">
        <f t="shared" si="7"/>
        <v>0</v>
      </c>
      <c r="AF8" s="122">
        <f t="shared" si="7"/>
        <v>1744</v>
      </c>
      <c r="AG8" s="122">
        <f t="shared" si="7"/>
        <v>1744</v>
      </c>
      <c r="AH8" s="122">
        <f t="shared" si="7"/>
        <v>18496</v>
      </c>
    </row>
    <row r="9" spans="1:34" ht="12">
      <c r="A9" s="115" t="s">
        <v>63</v>
      </c>
      <c r="B9" s="117"/>
      <c r="C9" s="117"/>
      <c r="D9" s="117"/>
      <c r="E9" s="120">
        <f>SUM(B9:D9)</f>
        <v>0</v>
      </c>
      <c r="F9" s="117"/>
      <c r="G9" s="117"/>
      <c r="H9" s="120">
        <f>SUM(F9:G9)</f>
        <v>0</v>
      </c>
      <c r="I9" s="117"/>
      <c r="J9" s="117"/>
      <c r="K9" s="117"/>
      <c r="L9" s="117"/>
      <c r="M9" s="117"/>
      <c r="N9" s="117"/>
      <c r="O9" s="120">
        <f>SUM(I9:N9)</f>
        <v>0</v>
      </c>
      <c r="P9" s="117"/>
      <c r="Q9" s="117"/>
      <c r="R9" s="117"/>
      <c r="S9" s="117"/>
      <c r="T9" s="117"/>
      <c r="U9" s="117"/>
      <c r="V9" s="117"/>
      <c r="W9" s="117"/>
      <c r="X9" s="120">
        <f>SUM(P9:W9)</f>
        <v>0</v>
      </c>
      <c r="Y9" s="117"/>
      <c r="Z9" s="117">
        <f>Y9*iét!$D$226</f>
        <v>0</v>
      </c>
      <c r="AA9" s="117">
        <f>Y9*iét!$D$227</f>
        <v>0</v>
      </c>
      <c r="AB9" s="117">
        <f>Y9*iét!$D$228</f>
        <v>0</v>
      </c>
      <c r="AC9" s="117">
        <f>Y9*iét!$D$229</f>
        <v>0</v>
      </c>
      <c r="AD9" s="120">
        <f t="shared" si="5"/>
        <v>0</v>
      </c>
      <c r="AE9" s="117"/>
      <c r="AF9" s="117"/>
      <c r="AG9" s="120">
        <f>SUM(AE9:AF9)</f>
        <v>0</v>
      </c>
      <c r="AH9" s="131">
        <f t="shared" si="6"/>
        <v>0</v>
      </c>
    </row>
    <row r="10" spans="1:34" ht="12">
      <c r="A10" s="116" t="s">
        <v>798</v>
      </c>
      <c r="B10" s="118">
        <f aca="true" t="shared" si="8" ref="B10:AH10">B8+B9</f>
        <v>4779</v>
      </c>
      <c r="C10" s="118"/>
      <c r="D10" s="118">
        <f t="shared" si="8"/>
        <v>2022</v>
      </c>
      <c r="E10" s="118">
        <f t="shared" si="8"/>
        <v>6801</v>
      </c>
      <c r="F10" s="118">
        <f t="shared" si="8"/>
        <v>1137</v>
      </c>
      <c r="G10" s="118">
        <f t="shared" si="8"/>
        <v>0</v>
      </c>
      <c r="H10" s="118">
        <f t="shared" si="8"/>
        <v>1137</v>
      </c>
      <c r="I10" s="118">
        <f t="shared" si="8"/>
        <v>0</v>
      </c>
      <c r="J10" s="118">
        <f t="shared" si="8"/>
        <v>1008</v>
      </c>
      <c r="K10" s="118">
        <f t="shared" si="8"/>
        <v>0</v>
      </c>
      <c r="L10" s="118">
        <f t="shared" si="8"/>
        <v>0</v>
      </c>
      <c r="M10" s="118">
        <f t="shared" si="8"/>
        <v>0</v>
      </c>
      <c r="N10" s="118">
        <f t="shared" si="8"/>
        <v>0</v>
      </c>
      <c r="O10" s="118">
        <f t="shared" si="8"/>
        <v>1008</v>
      </c>
      <c r="P10" s="118">
        <f t="shared" si="8"/>
        <v>2846</v>
      </c>
      <c r="Q10" s="118">
        <f t="shared" si="8"/>
        <v>0</v>
      </c>
      <c r="R10" s="118">
        <f t="shared" si="8"/>
        <v>1256</v>
      </c>
      <c r="S10" s="118">
        <f t="shared" si="8"/>
        <v>0</v>
      </c>
      <c r="T10" s="118">
        <f t="shared" si="8"/>
        <v>0</v>
      </c>
      <c r="U10" s="118">
        <f>U8+U9</f>
        <v>0</v>
      </c>
      <c r="V10" s="118">
        <f>V8+V9</f>
        <v>0</v>
      </c>
      <c r="W10" s="118">
        <f>W8+W9</f>
        <v>0</v>
      </c>
      <c r="X10" s="118">
        <f t="shared" si="8"/>
        <v>4102</v>
      </c>
      <c r="Y10" s="118">
        <f t="shared" si="8"/>
        <v>3704</v>
      </c>
      <c r="Z10" s="118">
        <f t="shared" si="8"/>
        <v>752.5349468137272</v>
      </c>
      <c r="AA10" s="118">
        <f t="shared" si="8"/>
        <v>2304.96684699326</v>
      </c>
      <c r="AB10" s="118">
        <f t="shared" si="8"/>
        <v>646.4982061930127</v>
      </c>
      <c r="AC10" s="118">
        <f t="shared" si="8"/>
        <v>0</v>
      </c>
      <c r="AD10" s="118">
        <f t="shared" si="8"/>
        <v>3703.9999999999995</v>
      </c>
      <c r="AE10" s="118">
        <f t="shared" si="8"/>
        <v>0</v>
      </c>
      <c r="AF10" s="118">
        <f t="shared" si="8"/>
        <v>1744</v>
      </c>
      <c r="AG10" s="118">
        <f t="shared" si="8"/>
        <v>1744</v>
      </c>
      <c r="AH10" s="118">
        <f t="shared" si="8"/>
        <v>18496</v>
      </c>
    </row>
    <row r="11" spans="1:34" ht="12">
      <c r="A11" s="115" t="s">
        <v>64</v>
      </c>
      <c r="B11" s="117">
        <f>hiv!D58</f>
        <v>373</v>
      </c>
      <c r="C11" s="117"/>
      <c r="D11" s="117"/>
      <c r="E11" s="120">
        <f>SUM(B11:D11)</f>
        <v>373</v>
      </c>
      <c r="F11" s="117">
        <f>isk!D22</f>
        <v>88</v>
      </c>
      <c r="G11" s="117"/>
      <c r="H11" s="120">
        <f>SUM(F11:G11)</f>
        <v>88</v>
      </c>
      <c r="I11" s="117"/>
      <c r="J11" s="117">
        <f>teü!D36</f>
        <v>84</v>
      </c>
      <c r="K11" s="117"/>
      <c r="L11" s="117"/>
      <c r="M11" s="117"/>
      <c r="N11" s="117"/>
      <c r="O11" s="120">
        <f>SUM(I11:N11)</f>
        <v>84</v>
      </c>
      <c r="P11" s="117"/>
      <c r="Q11" s="117"/>
      <c r="R11" s="117"/>
      <c r="S11" s="117"/>
      <c r="T11" s="117"/>
      <c r="U11" s="117"/>
      <c r="V11" s="117"/>
      <c r="W11" s="117"/>
      <c r="X11" s="120">
        <f>SUM(P11:W11)</f>
        <v>0</v>
      </c>
      <c r="Y11" s="117"/>
      <c r="Z11" s="117">
        <f>Y11*iét!$D$226</f>
        <v>0</v>
      </c>
      <c r="AA11" s="117">
        <f>Y11*iét!$D$227</f>
        <v>0</v>
      </c>
      <c r="AB11" s="117">
        <f>Y11*iét!$D$228</f>
        <v>0</v>
      </c>
      <c r="AC11" s="117">
        <f>Y11*iét!$D$229</f>
        <v>0</v>
      </c>
      <c r="AD11" s="120">
        <f t="shared" si="5"/>
        <v>0</v>
      </c>
      <c r="AE11" s="117"/>
      <c r="AF11" s="117"/>
      <c r="AG11" s="120">
        <f>SUM(AE11:AF11)</f>
        <v>0</v>
      </c>
      <c r="AH11" s="131">
        <f t="shared" si="6"/>
        <v>545</v>
      </c>
    </row>
    <row r="12" spans="1:34" ht="12">
      <c r="A12" s="115" t="s">
        <v>65</v>
      </c>
      <c r="B12" s="117"/>
      <c r="C12" s="117"/>
      <c r="D12" s="117"/>
      <c r="E12" s="120">
        <f>SUM(B12:D12)</f>
        <v>0</v>
      </c>
      <c r="F12" s="117"/>
      <c r="G12" s="117"/>
      <c r="H12" s="120">
        <f>SUM(F12:G12)</f>
        <v>0</v>
      </c>
      <c r="I12" s="117"/>
      <c r="J12" s="117"/>
      <c r="K12" s="117"/>
      <c r="L12" s="117"/>
      <c r="M12" s="117"/>
      <c r="N12" s="117"/>
      <c r="O12" s="120">
        <f>SUM(I12:N12)</f>
        <v>0</v>
      </c>
      <c r="P12" s="117"/>
      <c r="Q12" s="117"/>
      <c r="R12" s="117"/>
      <c r="S12" s="117"/>
      <c r="T12" s="117"/>
      <c r="U12" s="117"/>
      <c r="V12" s="117"/>
      <c r="W12" s="117"/>
      <c r="X12" s="120">
        <f>SUM(P12:W12)</f>
        <v>0</v>
      </c>
      <c r="Y12" s="117"/>
      <c r="Z12" s="117">
        <f>Y12*iét!$D$226</f>
        <v>0</v>
      </c>
      <c r="AA12" s="117">
        <f>Y12*iét!$D$227</f>
        <v>0</v>
      </c>
      <c r="AB12" s="117">
        <f>Y12*iét!$D$228</f>
        <v>0</v>
      </c>
      <c r="AC12" s="117">
        <f>Y12*iét!$D$229</f>
        <v>0</v>
      </c>
      <c r="AD12" s="120">
        <f t="shared" si="5"/>
        <v>0</v>
      </c>
      <c r="AE12" s="117"/>
      <c r="AF12" s="117"/>
      <c r="AG12" s="120">
        <f>SUM(AE12:AF12)</f>
        <v>0</v>
      </c>
      <c r="AH12" s="131">
        <f t="shared" si="6"/>
        <v>0</v>
      </c>
    </row>
    <row r="13" spans="1:34" ht="12">
      <c r="A13" s="115" t="s">
        <v>66</v>
      </c>
      <c r="B13" s="117"/>
      <c r="C13" s="117"/>
      <c r="D13" s="117"/>
      <c r="E13" s="120">
        <f>SUM(B13:D13)</f>
        <v>0</v>
      </c>
      <c r="F13" s="117"/>
      <c r="G13" s="117"/>
      <c r="H13" s="120">
        <f>SUM(F13:G13)</f>
        <v>0</v>
      </c>
      <c r="I13" s="117"/>
      <c r="J13" s="117"/>
      <c r="K13" s="117"/>
      <c r="L13" s="117"/>
      <c r="M13" s="117"/>
      <c r="N13" s="117"/>
      <c r="O13" s="120">
        <f>SUM(I13:N13)</f>
        <v>0</v>
      </c>
      <c r="P13" s="117"/>
      <c r="Q13" s="117"/>
      <c r="R13" s="117"/>
      <c r="S13" s="117"/>
      <c r="T13" s="117"/>
      <c r="U13" s="117"/>
      <c r="V13" s="117"/>
      <c r="W13" s="117"/>
      <c r="X13" s="120">
        <f>SUM(P13:W13)</f>
        <v>0</v>
      </c>
      <c r="Y13" s="117"/>
      <c r="Z13" s="117">
        <f>Y13*iét!$D$226</f>
        <v>0</v>
      </c>
      <c r="AA13" s="117">
        <f>Y13*iét!$D$227</f>
        <v>0</v>
      </c>
      <c r="AB13" s="117">
        <f>Y13*iét!$D$228</f>
        <v>0</v>
      </c>
      <c r="AC13" s="117">
        <f>Y13*iét!$D$229</f>
        <v>0</v>
      </c>
      <c r="AD13" s="120">
        <f t="shared" si="5"/>
        <v>0</v>
      </c>
      <c r="AE13" s="117"/>
      <c r="AF13" s="117"/>
      <c r="AG13" s="120">
        <f>SUM(AE13:AF13)</f>
        <v>0</v>
      </c>
      <c r="AH13" s="131">
        <f t="shared" si="6"/>
        <v>0</v>
      </c>
    </row>
    <row r="14" spans="1:34" ht="12">
      <c r="A14" s="115" t="s">
        <v>67</v>
      </c>
      <c r="B14" s="117"/>
      <c r="C14" s="117"/>
      <c r="D14" s="117"/>
      <c r="E14" s="120">
        <f>SUM(B14:D14)</f>
        <v>0</v>
      </c>
      <c r="F14" s="117"/>
      <c r="G14" s="117"/>
      <c r="H14" s="120">
        <f>SUM(F14:G14)</f>
        <v>0</v>
      </c>
      <c r="I14" s="117"/>
      <c r="J14" s="117"/>
      <c r="K14" s="117"/>
      <c r="L14" s="117"/>
      <c r="M14" s="117"/>
      <c r="N14" s="117"/>
      <c r="O14" s="120">
        <f>SUM(I14:N14)</f>
        <v>0</v>
      </c>
      <c r="P14" s="117"/>
      <c r="Q14" s="117"/>
      <c r="R14" s="117"/>
      <c r="S14" s="117"/>
      <c r="T14" s="117"/>
      <c r="U14" s="117"/>
      <c r="V14" s="117"/>
      <c r="W14" s="117"/>
      <c r="X14" s="120">
        <f>SUM(P14:W14)</f>
        <v>0</v>
      </c>
      <c r="Y14" s="117"/>
      <c r="Z14" s="117">
        <f>Y14*iét!$D$226</f>
        <v>0</v>
      </c>
      <c r="AA14" s="117">
        <f>Y14*iét!$D$227</f>
        <v>0</v>
      </c>
      <c r="AB14" s="117">
        <f>Y14*iét!$D$228</f>
        <v>0</v>
      </c>
      <c r="AC14" s="117">
        <f>Y14*iét!$D$229</f>
        <v>0</v>
      </c>
      <c r="AD14" s="120">
        <f t="shared" si="5"/>
        <v>0</v>
      </c>
      <c r="AE14" s="117"/>
      <c r="AF14" s="117"/>
      <c r="AG14" s="120">
        <f>SUM(AE14:AF14)</f>
        <v>0</v>
      </c>
      <c r="AH14" s="131">
        <f t="shared" si="6"/>
        <v>0</v>
      </c>
    </row>
    <row r="15" spans="1:34" ht="12">
      <c r="A15" s="121" t="s">
        <v>68</v>
      </c>
      <c r="B15" s="122">
        <f aca="true" t="shared" si="9" ref="B15:AH15">SUM(B11:B14)</f>
        <v>373</v>
      </c>
      <c r="C15" s="122"/>
      <c r="D15" s="122">
        <f t="shared" si="9"/>
        <v>0</v>
      </c>
      <c r="E15" s="122">
        <f t="shared" si="9"/>
        <v>373</v>
      </c>
      <c r="F15" s="122">
        <f t="shared" si="9"/>
        <v>88</v>
      </c>
      <c r="G15" s="122">
        <f t="shared" si="9"/>
        <v>0</v>
      </c>
      <c r="H15" s="122">
        <f t="shared" si="9"/>
        <v>88</v>
      </c>
      <c r="I15" s="122">
        <f t="shared" si="9"/>
        <v>0</v>
      </c>
      <c r="J15" s="122">
        <f t="shared" si="9"/>
        <v>84</v>
      </c>
      <c r="K15" s="122">
        <f t="shared" si="9"/>
        <v>0</v>
      </c>
      <c r="L15" s="122">
        <f t="shared" si="9"/>
        <v>0</v>
      </c>
      <c r="M15" s="122">
        <f t="shared" si="9"/>
        <v>0</v>
      </c>
      <c r="N15" s="122">
        <f t="shared" si="9"/>
        <v>0</v>
      </c>
      <c r="O15" s="122">
        <f t="shared" si="9"/>
        <v>84</v>
      </c>
      <c r="P15" s="122">
        <f t="shared" si="9"/>
        <v>0</v>
      </c>
      <c r="Q15" s="122">
        <f t="shared" si="9"/>
        <v>0</v>
      </c>
      <c r="R15" s="122">
        <f t="shared" si="9"/>
        <v>0</v>
      </c>
      <c r="S15" s="122">
        <f t="shared" si="9"/>
        <v>0</v>
      </c>
      <c r="T15" s="122">
        <f t="shared" si="9"/>
        <v>0</v>
      </c>
      <c r="U15" s="122">
        <f>SUM(U11:U14)</f>
        <v>0</v>
      </c>
      <c r="V15" s="122">
        <f>SUM(V11:V14)</f>
        <v>0</v>
      </c>
      <c r="W15" s="122">
        <f>SUM(W11:W14)</f>
        <v>0</v>
      </c>
      <c r="X15" s="122">
        <f t="shared" si="9"/>
        <v>0</v>
      </c>
      <c r="Y15" s="122">
        <f t="shared" si="9"/>
        <v>0</v>
      </c>
      <c r="Z15" s="122">
        <f t="shared" si="9"/>
        <v>0</v>
      </c>
      <c r="AA15" s="122">
        <f t="shared" si="9"/>
        <v>0</v>
      </c>
      <c r="AB15" s="122">
        <f t="shared" si="9"/>
        <v>0</v>
      </c>
      <c r="AC15" s="122">
        <f t="shared" si="9"/>
        <v>0</v>
      </c>
      <c r="AD15" s="122">
        <f t="shared" si="9"/>
        <v>0</v>
      </c>
      <c r="AE15" s="122">
        <f t="shared" si="9"/>
        <v>0</v>
      </c>
      <c r="AF15" s="122">
        <f t="shared" si="9"/>
        <v>0</v>
      </c>
      <c r="AG15" s="122">
        <f t="shared" si="9"/>
        <v>0</v>
      </c>
      <c r="AH15" s="122">
        <f t="shared" si="9"/>
        <v>545</v>
      </c>
    </row>
    <row r="16" spans="1:34" ht="12">
      <c r="A16" s="115" t="s">
        <v>69</v>
      </c>
      <c r="B16" s="117"/>
      <c r="C16" s="117"/>
      <c r="D16" s="117"/>
      <c r="E16" s="120">
        <f>SUM(B16:D16)</f>
        <v>0</v>
      </c>
      <c r="F16" s="117"/>
      <c r="G16" s="117"/>
      <c r="H16" s="120">
        <f>SUM(F16:G16)</f>
        <v>0</v>
      </c>
      <c r="I16" s="117"/>
      <c r="J16" s="117"/>
      <c r="K16" s="117"/>
      <c r="L16" s="117"/>
      <c r="M16" s="117"/>
      <c r="N16" s="117"/>
      <c r="O16" s="120">
        <f>SUM(I16:N16)</f>
        <v>0</v>
      </c>
      <c r="P16" s="117"/>
      <c r="Q16" s="117"/>
      <c r="R16" s="117"/>
      <c r="S16" s="117"/>
      <c r="T16" s="117"/>
      <c r="U16" s="117"/>
      <c r="V16" s="117"/>
      <c r="W16" s="117"/>
      <c r="X16" s="120">
        <f>SUM(P16:W16)</f>
        <v>0</v>
      </c>
      <c r="Y16" s="117"/>
      <c r="Z16" s="117">
        <f>Y16*iét!$D$226</f>
        <v>0</v>
      </c>
      <c r="AA16" s="117">
        <f>Y16*iét!$D$227</f>
        <v>0</v>
      </c>
      <c r="AB16" s="117">
        <f>Y16*iét!$D$228</f>
        <v>0</v>
      </c>
      <c r="AC16" s="117">
        <f>Y16*iét!$D$229</f>
        <v>0</v>
      </c>
      <c r="AD16" s="120">
        <f t="shared" si="5"/>
        <v>0</v>
      </c>
      <c r="AE16" s="117"/>
      <c r="AF16" s="117"/>
      <c r="AG16" s="120">
        <f>SUM(AE16:AF16)</f>
        <v>0</v>
      </c>
      <c r="AH16" s="131">
        <f t="shared" si="6"/>
        <v>0</v>
      </c>
    </row>
    <row r="17" spans="1:34" ht="12">
      <c r="A17" s="116" t="s">
        <v>70</v>
      </c>
      <c r="B17" s="118">
        <f aca="true" t="shared" si="10" ref="B17:AH17">B15+B16</f>
        <v>373</v>
      </c>
      <c r="C17" s="118"/>
      <c r="D17" s="118">
        <f t="shared" si="10"/>
        <v>0</v>
      </c>
      <c r="E17" s="118">
        <f t="shared" si="10"/>
        <v>373</v>
      </c>
      <c r="F17" s="118">
        <f t="shared" si="10"/>
        <v>88</v>
      </c>
      <c r="G17" s="118">
        <f t="shared" si="10"/>
        <v>0</v>
      </c>
      <c r="H17" s="118">
        <f t="shared" si="10"/>
        <v>88</v>
      </c>
      <c r="I17" s="118">
        <f t="shared" si="10"/>
        <v>0</v>
      </c>
      <c r="J17" s="118">
        <f t="shared" si="10"/>
        <v>84</v>
      </c>
      <c r="K17" s="118">
        <f t="shared" si="10"/>
        <v>0</v>
      </c>
      <c r="L17" s="118">
        <f t="shared" si="10"/>
        <v>0</v>
      </c>
      <c r="M17" s="118">
        <f t="shared" si="10"/>
        <v>0</v>
      </c>
      <c r="N17" s="118">
        <f t="shared" si="10"/>
        <v>0</v>
      </c>
      <c r="O17" s="118">
        <f t="shared" si="10"/>
        <v>84</v>
      </c>
      <c r="P17" s="118">
        <f t="shared" si="10"/>
        <v>0</v>
      </c>
      <c r="Q17" s="118">
        <f t="shared" si="10"/>
        <v>0</v>
      </c>
      <c r="R17" s="118">
        <f t="shared" si="10"/>
        <v>0</v>
      </c>
      <c r="S17" s="118">
        <f t="shared" si="10"/>
        <v>0</v>
      </c>
      <c r="T17" s="118">
        <f t="shared" si="10"/>
        <v>0</v>
      </c>
      <c r="U17" s="118">
        <f>U15+U16</f>
        <v>0</v>
      </c>
      <c r="V17" s="118">
        <f>V15+V16</f>
        <v>0</v>
      </c>
      <c r="W17" s="118">
        <f>W15+W16</f>
        <v>0</v>
      </c>
      <c r="X17" s="118">
        <f t="shared" si="10"/>
        <v>0</v>
      </c>
      <c r="Y17" s="118">
        <f t="shared" si="10"/>
        <v>0</v>
      </c>
      <c r="Z17" s="118">
        <f t="shared" si="10"/>
        <v>0</v>
      </c>
      <c r="AA17" s="118">
        <f t="shared" si="10"/>
        <v>0</v>
      </c>
      <c r="AB17" s="118">
        <f t="shared" si="10"/>
        <v>0</v>
      </c>
      <c r="AC17" s="118">
        <f t="shared" si="10"/>
        <v>0</v>
      </c>
      <c r="AD17" s="118">
        <f t="shared" si="10"/>
        <v>0</v>
      </c>
      <c r="AE17" s="118">
        <f t="shared" si="10"/>
        <v>0</v>
      </c>
      <c r="AF17" s="118">
        <f t="shared" si="10"/>
        <v>0</v>
      </c>
      <c r="AG17" s="118">
        <f t="shared" si="10"/>
        <v>0</v>
      </c>
      <c r="AH17" s="118">
        <f t="shared" si="10"/>
        <v>545</v>
      </c>
    </row>
    <row r="18" spans="1:34" ht="12">
      <c r="A18" s="115" t="s">
        <v>71</v>
      </c>
      <c r="B18" s="117">
        <v>0</v>
      </c>
      <c r="C18" s="117"/>
      <c r="D18" s="117"/>
      <c r="E18" s="120">
        <f>SUM(B18:D18)</f>
        <v>0</v>
      </c>
      <c r="F18" s="117"/>
      <c r="G18" s="117"/>
      <c r="H18" s="120">
        <f>SUM(F18:G18)</f>
        <v>0</v>
      </c>
      <c r="I18" s="117"/>
      <c r="J18" s="117"/>
      <c r="K18" s="117"/>
      <c r="L18" s="117"/>
      <c r="M18" s="117"/>
      <c r="N18" s="117"/>
      <c r="O18" s="120">
        <f>SUM(I18:N18)</f>
        <v>0</v>
      </c>
      <c r="P18" s="117"/>
      <c r="Q18" s="117"/>
      <c r="R18" s="117"/>
      <c r="S18" s="117"/>
      <c r="T18" s="117"/>
      <c r="U18" s="117"/>
      <c r="V18" s="117"/>
      <c r="W18" s="117"/>
      <c r="X18" s="120">
        <f>SUM(P18:W18)</f>
        <v>0</v>
      </c>
      <c r="Y18" s="117"/>
      <c r="Z18" s="117">
        <f>Y18*iét!$D$226</f>
        <v>0</v>
      </c>
      <c r="AA18" s="117">
        <f>Y18*iét!$D$227</f>
        <v>0</v>
      </c>
      <c r="AB18" s="117">
        <f>Y18*iét!$D$228</f>
        <v>0</v>
      </c>
      <c r="AC18" s="117">
        <f>Y18*iét!$D$229</f>
        <v>0</v>
      </c>
      <c r="AD18" s="120">
        <f t="shared" si="5"/>
        <v>0</v>
      </c>
      <c r="AE18" s="117"/>
      <c r="AF18" s="117"/>
      <c r="AG18" s="120">
        <f>SUM(AE18:AF18)</f>
        <v>0</v>
      </c>
      <c r="AH18" s="131">
        <f t="shared" si="6"/>
        <v>0</v>
      </c>
    </row>
    <row r="19" spans="1:34" ht="12">
      <c r="A19" s="115" t="s">
        <v>771</v>
      </c>
      <c r="B19" s="117"/>
      <c r="C19" s="117"/>
      <c r="D19" s="117"/>
      <c r="E19" s="120">
        <f>SUM(B19:D19)</f>
        <v>0</v>
      </c>
      <c r="F19" s="117"/>
      <c r="G19" s="117"/>
      <c r="H19" s="120">
        <f>SUM(F19:G19)</f>
        <v>0</v>
      </c>
      <c r="I19" s="117"/>
      <c r="J19" s="117"/>
      <c r="K19" s="117"/>
      <c r="L19" s="117"/>
      <c r="M19" s="117"/>
      <c r="N19" s="117"/>
      <c r="O19" s="120">
        <f>SUM(I19:N19)</f>
        <v>0</v>
      </c>
      <c r="P19" s="117"/>
      <c r="Q19" s="117"/>
      <c r="R19" s="117"/>
      <c r="S19" s="117"/>
      <c r="T19" s="117"/>
      <c r="U19" s="117"/>
      <c r="V19" s="117"/>
      <c r="W19" s="117"/>
      <c r="X19" s="120">
        <f>SUM(P19:W19)</f>
        <v>0</v>
      </c>
      <c r="Y19" s="117">
        <f>iét!$D$75</f>
        <v>0</v>
      </c>
      <c r="Z19" s="117">
        <f>Y19*iét!$D$226</f>
        <v>0</v>
      </c>
      <c r="AA19" s="117">
        <f>Y19*iét!$D$227</f>
        <v>0</v>
      </c>
      <c r="AB19" s="117">
        <f>Y19*iét!$D$228</f>
        <v>0</v>
      </c>
      <c r="AC19" s="117">
        <f>Y19*iét!$D$229</f>
        <v>0</v>
      </c>
      <c r="AD19" s="120">
        <f t="shared" si="5"/>
        <v>0</v>
      </c>
      <c r="AE19" s="117"/>
      <c r="AF19" s="117"/>
      <c r="AG19" s="120">
        <f>SUM(AE19:AF19)</f>
        <v>0</v>
      </c>
      <c r="AH19" s="131">
        <f t="shared" si="6"/>
        <v>0</v>
      </c>
    </row>
    <row r="20" spans="1:34" ht="12">
      <c r="A20" s="115" t="s">
        <v>72</v>
      </c>
      <c r="B20" s="117"/>
      <c r="C20" s="117"/>
      <c r="D20" s="117"/>
      <c r="E20" s="120">
        <f>SUM(B20:D20)</f>
        <v>0</v>
      </c>
      <c r="F20" s="117"/>
      <c r="G20" s="117"/>
      <c r="H20" s="120">
        <f>SUM(F20:G20)</f>
        <v>0</v>
      </c>
      <c r="I20" s="117"/>
      <c r="J20" s="117"/>
      <c r="K20" s="117"/>
      <c r="L20" s="117"/>
      <c r="M20" s="117"/>
      <c r="N20" s="117"/>
      <c r="O20" s="120">
        <f>SUM(I20:N20)</f>
        <v>0</v>
      </c>
      <c r="P20" s="117"/>
      <c r="Q20" s="117"/>
      <c r="R20" s="117"/>
      <c r="S20" s="117"/>
      <c r="T20" s="117"/>
      <c r="U20" s="117"/>
      <c r="V20" s="117"/>
      <c r="W20" s="117"/>
      <c r="X20" s="120">
        <f>SUM(P20:W20)</f>
        <v>0</v>
      </c>
      <c r="Y20" s="117"/>
      <c r="Z20" s="117">
        <f>Y20*iét!$D$226</f>
        <v>0</v>
      </c>
      <c r="AA20" s="117">
        <f>Y20*iét!$D$227</f>
        <v>0</v>
      </c>
      <c r="AB20" s="117">
        <f>Y20*iét!$D$228</f>
        <v>0</v>
      </c>
      <c r="AC20" s="117">
        <f>Y20*iét!$D$229</f>
        <v>0</v>
      </c>
      <c r="AD20" s="120">
        <f t="shared" si="5"/>
        <v>0</v>
      </c>
      <c r="AE20" s="117"/>
      <c r="AF20" s="117"/>
      <c r="AG20" s="120">
        <f>SUM(AE20:AF20)</f>
        <v>0</v>
      </c>
      <c r="AH20" s="131">
        <f t="shared" si="6"/>
        <v>0</v>
      </c>
    </row>
    <row r="21" spans="1:34" ht="12">
      <c r="A21" s="115" t="s">
        <v>73</v>
      </c>
      <c r="B21" s="117"/>
      <c r="C21" s="117"/>
      <c r="D21" s="117"/>
      <c r="E21" s="120">
        <f>SUM(B21:D21)</f>
        <v>0</v>
      </c>
      <c r="F21" s="117"/>
      <c r="G21" s="117"/>
      <c r="H21" s="120">
        <f>SUM(F21:G21)</f>
        <v>0</v>
      </c>
      <c r="I21" s="117"/>
      <c r="J21" s="117"/>
      <c r="K21" s="117"/>
      <c r="L21" s="117"/>
      <c r="M21" s="117"/>
      <c r="N21" s="117"/>
      <c r="O21" s="120">
        <f>SUM(I21:N21)</f>
        <v>0</v>
      </c>
      <c r="P21" s="117"/>
      <c r="Q21" s="117"/>
      <c r="R21" s="117"/>
      <c r="S21" s="117"/>
      <c r="T21" s="117"/>
      <c r="U21" s="117"/>
      <c r="V21" s="117"/>
      <c r="W21" s="117"/>
      <c r="X21" s="120">
        <f>SUM(P21:W21)</f>
        <v>0</v>
      </c>
      <c r="Y21" s="117"/>
      <c r="Z21" s="117">
        <f>Y21*iét!$D$226</f>
        <v>0</v>
      </c>
      <c r="AA21" s="117">
        <f>Y21*iét!$D$227</f>
        <v>0</v>
      </c>
      <c r="AB21" s="117">
        <f>Y21*iét!$D$228</f>
        <v>0</v>
      </c>
      <c r="AC21" s="117">
        <f>Y21*iét!$D$229</f>
        <v>0</v>
      </c>
      <c r="AD21" s="120">
        <f t="shared" si="5"/>
        <v>0</v>
      </c>
      <c r="AE21" s="117"/>
      <c r="AF21" s="117"/>
      <c r="AG21" s="120">
        <f>SUM(AE21:AF21)</f>
        <v>0</v>
      </c>
      <c r="AH21" s="131">
        <f t="shared" si="6"/>
        <v>0</v>
      </c>
    </row>
    <row r="22" spans="1:34" ht="12">
      <c r="A22" s="115" t="s">
        <v>74</v>
      </c>
      <c r="B22" s="117"/>
      <c r="C22" s="117"/>
      <c r="D22" s="117"/>
      <c r="E22" s="120">
        <f>SUM(B22:D22)</f>
        <v>0</v>
      </c>
      <c r="F22" s="117"/>
      <c r="G22" s="117"/>
      <c r="H22" s="120">
        <f>SUM(F22:G22)</f>
        <v>0</v>
      </c>
      <c r="I22" s="117"/>
      <c r="J22" s="117"/>
      <c r="K22" s="117"/>
      <c r="L22" s="117"/>
      <c r="M22" s="117"/>
      <c r="N22" s="117"/>
      <c r="O22" s="120">
        <f>SUM(I22:N22)</f>
        <v>0</v>
      </c>
      <c r="P22" s="117"/>
      <c r="Q22" s="117"/>
      <c r="R22" s="117"/>
      <c r="S22" s="117"/>
      <c r="T22" s="117"/>
      <c r="U22" s="117"/>
      <c r="V22" s="117"/>
      <c r="W22" s="117"/>
      <c r="X22" s="120">
        <f>SUM(P22:W22)</f>
        <v>0</v>
      </c>
      <c r="Y22" s="117"/>
      <c r="Z22" s="117">
        <f>Y22*iét!$D$226</f>
        <v>0</v>
      </c>
      <c r="AA22" s="117">
        <f>Y22*iét!$D$227</f>
        <v>0</v>
      </c>
      <c r="AB22" s="117">
        <f>Y22*iét!$D$228</f>
        <v>0</v>
      </c>
      <c r="AC22" s="117">
        <f>Y22*iét!$D$229</f>
        <v>0</v>
      </c>
      <c r="AD22" s="120">
        <f t="shared" si="5"/>
        <v>0</v>
      </c>
      <c r="AE22" s="117"/>
      <c r="AF22" s="117"/>
      <c r="AG22" s="120">
        <f>SUM(AE22:AF22)</f>
        <v>0</v>
      </c>
      <c r="AH22" s="131">
        <f t="shared" si="6"/>
        <v>0</v>
      </c>
    </row>
    <row r="23" spans="1:34" ht="12">
      <c r="A23" s="121" t="s">
        <v>75</v>
      </c>
      <c r="B23" s="122">
        <f aca="true" t="shared" si="11" ref="B23:AH23">SUM(B18:B22)</f>
        <v>0</v>
      </c>
      <c r="C23" s="122"/>
      <c r="D23" s="122">
        <f t="shared" si="11"/>
        <v>0</v>
      </c>
      <c r="E23" s="122">
        <f t="shared" si="11"/>
        <v>0</v>
      </c>
      <c r="F23" s="122">
        <f>SUM(F18:F22)</f>
        <v>0</v>
      </c>
      <c r="G23" s="122">
        <f t="shared" si="11"/>
        <v>0</v>
      </c>
      <c r="H23" s="122">
        <f t="shared" si="11"/>
        <v>0</v>
      </c>
      <c r="I23" s="122">
        <f t="shared" si="11"/>
        <v>0</v>
      </c>
      <c r="J23" s="122">
        <f t="shared" si="11"/>
        <v>0</v>
      </c>
      <c r="K23" s="122">
        <f t="shared" si="11"/>
        <v>0</v>
      </c>
      <c r="L23" s="122">
        <f t="shared" si="11"/>
        <v>0</v>
      </c>
      <c r="M23" s="122">
        <f t="shared" si="11"/>
        <v>0</v>
      </c>
      <c r="N23" s="122">
        <f t="shared" si="11"/>
        <v>0</v>
      </c>
      <c r="O23" s="122">
        <f t="shared" si="11"/>
        <v>0</v>
      </c>
      <c r="P23" s="122">
        <f t="shared" si="11"/>
        <v>0</v>
      </c>
      <c r="Q23" s="122">
        <f t="shared" si="11"/>
        <v>0</v>
      </c>
      <c r="R23" s="122">
        <f t="shared" si="11"/>
        <v>0</v>
      </c>
      <c r="S23" s="122">
        <f t="shared" si="11"/>
        <v>0</v>
      </c>
      <c r="T23" s="122">
        <f>SUM(T18:T22)</f>
        <v>0</v>
      </c>
      <c r="U23" s="122">
        <f>SUM(U18:U22)</f>
        <v>0</v>
      </c>
      <c r="V23" s="122">
        <f>SUM(V18:V22)</f>
        <v>0</v>
      </c>
      <c r="W23" s="122">
        <f>SUM(W18:W22)</f>
        <v>0</v>
      </c>
      <c r="X23" s="122">
        <f t="shared" si="11"/>
        <v>0</v>
      </c>
      <c r="Y23" s="122">
        <f t="shared" si="11"/>
        <v>0</v>
      </c>
      <c r="Z23" s="122">
        <f t="shared" si="11"/>
        <v>0</v>
      </c>
      <c r="AA23" s="122">
        <f t="shared" si="11"/>
        <v>0</v>
      </c>
      <c r="AB23" s="122">
        <f t="shared" si="11"/>
        <v>0</v>
      </c>
      <c r="AC23" s="122">
        <f t="shared" si="11"/>
        <v>0</v>
      </c>
      <c r="AD23" s="122">
        <f t="shared" si="11"/>
        <v>0</v>
      </c>
      <c r="AE23" s="122">
        <f t="shared" si="11"/>
        <v>0</v>
      </c>
      <c r="AF23" s="122">
        <f t="shared" si="11"/>
        <v>0</v>
      </c>
      <c r="AG23" s="122">
        <f t="shared" si="11"/>
        <v>0</v>
      </c>
      <c r="AH23" s="122">
        <f t="shared" si="11"/>
        <v>0</v>
      </c>
    </row>
    <row r="24" spans="1:34" ht="12">
      <c r="A24" s="115" t="s">
        <v>86</v>
      </c>
      <c r="B24" s="117"/>
      <c r="C24" s="117"/>
      <c r="D24" s="117"/>
      <c r="E24" s="120">
        <f>SUM(B24:D24)</f>
        <v>0</v>
      </c>
      <c r="F24" s="117"/>
      <c r="G24" s="117"/>
      <c r="H24" s="120">
        <f>SUM(F24:G24)</f>
        <v>0</v>
      </c>
      <c r="I24" s="117"/>
      <c r="J24" s="117"/>
      <c r="K24" s="117"/>
      <c r="L24" s="117"/>
      <c r="M24" s="117"/>
      <c r="N24" s="117"/>
      <c r="O24" s="120">
        <f>SUM(I24:N24)</f>
        <v>0</v>
      </c>
      <c r="P24" s="117"/>
      <c r="Q24" s="117"/>
      <c r="R24" s="117"/>
      <c r="S24" s="117"/>
      <c r="T24" s="117"/>
      <c r="U24" s="117"/>
      <c r="V24" s="117"/>
      <c r="W24" s="117"/>
      <c r="X24" s="120">
        <f>SUM(P24:W24)</f>
        <v>0</v>
      </c>
      <c r="Y24" s="117"/>
      <c r="Z24" s="117">
        <f>Y24*iét!$D$226</f>
        <v>0</v>
      </c>
      <c r="AA24" s="117">
        <f>Y24*iét!$D$227</f>
        <v>0</v>
      </c>
      <c r="AB24" s="117">
        <f>Y24*iét!$D$228</f>
        <v>0</v>
      </c>
      <c r="AC24" s="117">
        <f>Y24*iét!$D$229</f>
        <v>0</v>
      </c>
      <c r="AD24" s="120">
        <f t="shared" si="5"/>
        <v>0</v>
      </c>
      <c r="AE24" s="117"/>
      <c r="AF24" s="117"/>
      <c r="AG24" s="120">
        <f>SUM(AE24:AF24)</f>
        <v>0</v>
      </c>
      <c r="AH24" s="131">
        <f t="shared" si="6"/>
        <v>0</v>
      </c>
    </row>
    <row r="25" spans="1:34" ht="12">
      <c r="A25" s="116" t="s">
        <v>87</v>
      </c>
      <c r="B25" s="118">
        <f aca="true" t="shared" si="12" ref="B25:AH25">B23+B24</f>
        <v>0</v>
      </c>
      <c r="C25" s="118"/>
      <c r="D25" s="118">
        <f t="shared" si="12"/>
        <v>0</v>
      </c>
      <c r="E25" s="118">
        <f t="shared" si="12"/>
        <v>0</v>
      </c>
      <c r="F25" s="118">
        <f>F23+F24</f>
        <v>0</v>
      </c>
      <c r="G25" s="118">
        <f t="shared" si="12"/>
        <v>0</v>
      </c>
      <c r="H25" s="118">
        <f t="shared" si="12"/>
        <v>0</v>
      </c>
      <c r="I25" s="118">
        <f t="shared" si="12"/>
        <v>0</v>
      </c>
      <c r="J25" s="118">
        <f t="shared" si="12"/>
        <v>0</v>
      </c>
      <c r="K25" s="118">
        <f t="shared" si="12"/>
        <v>0</v>
      </c>
      <c r="L25" s="118">
        <f t="shared" si="12"/>
        <v>0</v>
      </c>
      <c r="M25" s="118">
        <f t="shared" si="12"/>
        <v>0</v>
      </c>
      <c r="N25" s="118">
        <f t="shared" si="12"/>
        <v>0</v>
      </c>
      <c r="O25" s="118">
        <f t="shared" si="12"/>
        <v>0</v>
      </c>
      <c r="P25" s="118">
        <f t="shared" si="12"/>
        <v>0</v>
      </c>
      <c r="Q25" s="118">
        <f t="shared" si="12"/>
        <v>0</v>
      </c>
      <c r="R25" s="118">
        <f t="shared" si="12"/>
        <v>0</v>
      </c>
      <c r="S25" s="118">
        <f t="shared" si="12"/>
        <v>0</v>
      </c>
      <c r="T25" s="118">
        <f>T23+T24</f>
        <v>0</v>
      </c>
      <c r="U25" s="118">
        <f>U23+U24</f>
        <v>0</v>
      </c>
      <c r="V25" s="118">
        <f>V23+V24</f>
        <v>0</v>
      </c>
      <c r="W25" s="118">
        <f>W23+W24</f>
        <v>0</v>
      </c>
      <c r="X25" s="118">
        <f t="shared" si="12"/>
        <v>0</v>
      </c>
      <c r="Y25" s="118">
        <f t="shared" si="12"/>
        <v>0</v>
      </c>
      <c r="Z25" s="118">
        <f t="shared" si="12"/>
        <v>0</v>
      </c>
      <c r="AA25" s="118">
        <f t="shared" si="12"/>
        <v>0</v>
      </c>
      <c r="AB25" s="118">
        <f t="shared" si="12"/>
        <v>0</v>
      </c>
      <c r="AC25" s="118">
        <f>AC23+AC24</f>
        <v>0</v>
      </c>
      <c r="AD25" s="118">
        <f>AD23+AD24</f>
        <v>0</v>
      </c>
      <c r="AE25" s="118">
        <f t="shared" si="12"/>
        <v>0</v>
      </c>
      <c r="AF25" s="118">
        <f t="shared" si="12"/>
        <v>0</v>
      </c>
      <c r="AG25" s="118">
        <f t="shared" si="12"/>
        <v>0</v>
      </c>
      <c r="AH25" s="118">
        <f t="shared" si="12"/>
        <v>0</v>
      </c>
    </row>
    <row r="26" spans="1:34" ht="12">
      <c r="A26" s="115" t="s">
        <v>167</v>
      </c>
      <c r="B26" s="117">
        <f>hiv!D64</f>
        <v>77</v>
      </c>
      <c r="C26" s="117"/>
      <c r="D26" s="117">
        <f>körj!D36</f>
        <v>39</v>
      </c>
      <c r="E26" s="120">
        <f>SUM(B26:D26)</f>
        <v>116</v>
      </c>
      <c r="F26" s="117"/>
      <c r="G26" s="117"/>
      <c r="H26" s="120">
        <f>SUM(F26:G26)</f>
        <v>0</v>
      </c>
      <c r="I26" s="117"/>
      <c r="J26" s="117"/>
      <c r="K26" s="117"/>
      <c r="L26" s="117"/>
      <c r="M26" s="117"/>
      <c r="N26" s="117"/>
      <c r="O26" s="120">
        <f>SUM(I26:N26)</f>
        <v>0</v>
      </c>
      <c r="P26" s="117"/>
      <c r="Q26" s="117"/>
      <c r="R26" s="117"/>
      <c r="S26" s="117"/>
      <c r="T26" s="117"/>
      <c r="U26" s="117"/>
      <c r="V26" s="117"/>
      <c r="W26" s="117"/>
      <c r="X26" s="120">
        <f>SUM(P26:W26)</f>
        <v>0</v>
      </c>
      <c r="Y26" s="117"/>
      <c r="Z26" s="117">
        <f>Y26*iét!$D$226</f>
        <v>0</v>
      </c>
      <c r="AA26" s="117">
        <f>Y26*iét!$D$227</f>
        <v>0</v>
      </c>
      <c r="AB26" s="117">
        <f>Y26*iét!$D$228</f>
        <v>0</v>
      </c>
      <c r="AC26" s="117">
        <f>Y26*iét!$D$229</f>
        <v>0</v>
      </c>
      <c r="AD26" s="120">
        <f t="shared" si="5"/>
        <v>0</v>
      </c>
      <c r="AE26" s="117"/>
      <c r="AF26" s="117"/>
      <c r="AG26" s="120">
        <f>SUM(AE26:AF26)</f>
        <v>0</v>
      </c>
      <c r="AH26" s="131">
        <f t="shared" si="6"/>
        <v>116</v>
      </c>
    </row>
    <row r="27" spans="1:34" ht="12">
      <c r="A27" s="115" t="s">
        <v>168</v>
      </c>
      <c r="B27" s="117"/>
      <c r="C27" s="117"/>
      <c r="D27" s="117"/>
      <c r="E27" s="120">
        <f>SUM(B27:D27)</f>
        <v>0</v>
      </c>
      <c r="F27" s="117"/>
      <c r="G27" s="117"/>
      <c r="H27" s="120">
        <f>SUM(F27:G27)</f>
        <v>0</v>
      </c>
      <c r="I27" s="117"/>
      <c r="J27" s="117"/>
      <c r="K27" s="117"/>
      <c r="L27" s="117"/>
      <c r="M27" s="117"/>
      <c r="N27" s="117"/>
      <c r="O27" s="120">
        <f>SUM(I27:N27)</f>
        <v>0</v>
      </c>
      <c r="P27" s="117"/>
      <c r="Q27" s="117"/>
      <c r="R27" s="117"/>
      <c r="S27" s="117"/>
      <c r="T27" s="117"/>
      <c r="U27" s="117"/>
      <c r="V27" s="117"/>
      <c r="W27" s="117"/>
      <c r="X27" s="120">
        <f>SUM(P27:W27)</f>
        <v>0</v>
      </c>
      <c r="Y27" s="117"/>
      <c r="Z27" s="117">
        <f>Y27*iét!$D$226</f>
        <v>0</v>
      </c>
      <c r="AA27" s="117">
        <f>Y27*iét!$D$227</f>
        <v>0</v>
      </c>
      <c r="AB27" s="117">
        <f>Y27*iét!$D$228</f>
        <v>0</v>
      </c>
      <c r="AC27" s="117">
        <f>Y27*iét!$D$229</f>
        <v>0</v>
      </c>
      <c r="AD27" s="120">
        <f t="shared" si="5"/>
        <v>0</v>
      </c>
      <c r="AE27" s="117"/>
      <c r="AF27" s="117"/>
      <c r="AG27" s="120">
        <f>SUM(AE27:AF27)</f>
        <v>0</v>
      </c>
      <c r="AH27" s="131">
        <f t="shared" si="6"/>
        <v>0</v>
      </c>
    </row>
    <row r="28" spans="1:34" ht="12">
      <c r="A28" s="115" t="s">
        <v>88</v>
      </c>
      <c r="B28" s="117"/>
      <c r="C28" s="117"/>
      <c r="D28" s="117"/>
      <c r="E28" s="120">
        <f>SUM(B28:D28)</f>
        <v>0</v>
      </c>
      <c r="F28" s="117"/>
      <c r="G28" s="117"/>
      <c r="H28" s="120">
        <f>SUM(F28:G28)</f>
        <v>0</v>
      </c>
      <c r="I28" s="117"/>
      <c r="J28" s="117"/>
      <c r="K28" s="117"/>
      <c r="L28" s="117"/>
      <c r="M28" s="117"/>
      <c r="N28" s="117"/>
      <c r="O28" s="120">
        <f>SUM(I28:N28)</f>
        <v>0</v>
      </c>
      <c r="P28" s="117"/>
      <c r="Q28" s="117"/>
      <c r="R28" s="117">
        <f>fsp!$D$120</f>
        <v>120</v>
      </c>
      <c r="S28" s="117"/>
      <c r="T28" s="117"/>
      <c r="U28" s="117"/>
      <c r="V28" s="117"/>
      <c r="W28" s="117"/>
      <c r="X28" s="120">
        <f>SUM(P28:W28)</f>
        <v>120</v>
      </c>
      <c r="Y28" s="117"/>
      <c r="Z28" s="117">
        <f>Y28*iét!$D$226</f>
        <v>0</v>
      </c>
      <c r="AA28" s="117">
        <f>Y28*iét!$D$227</f>
        <v>0</v>
      </c>
      <c r="AB28" s="117">
        <f>Y28*iét!$D$228</f>
        <v>0</v>
      </c>
      <c r="AC28" s="117">
        <f>Y28*iét!$D$229</f>
        <v>0</v>
      </c>
      <c r="AD28" s="120">
        <f t="shared" si="5"/>
        <v>0</v>
      </c>
      <c r="AE28" s="117"/>
      <c r="AF28" s="117"/>
      <c r="AG28" s="120">
        <f>SUM(AE28:AF28)</f>
        <v>0</v>
      </c>
      <c r="AH28" s="131">
        <f t="shared" si="6"/>
        <v>120</v>
      </c>
    </row>
    <row r="29" spans="1:34" ht="12">
      <c r="A29" s="115" t="s">
        <v>170</v>
      </c>
      <c r="B29" s="117">
        <f>hiv!D68</f>
        <v>288</v>
      </c>
      <c r="C29" s="117"/>
      <c r="D29" s="117">
        <f>körj!D41</f>
        <v>72</v>
      </c>
      <c r="E29" s="120">
        <f>SUM(B29:D29)</f>
        <v>360</v>
      </c>
      <c r="F29" s="117">
        <f>isk!D29</f>
        <v>144</v>
      </c>
      <c r="G29" s="117"/>
      <c r="H29" s="120">
        <f>SUM(F29:G29)</f>
        <v>144</v>
      </c>
      <c r="I29" s="117"/>
      <c r="J29" s="117">
        <f>teü!$D$41</f>
        <v>144</v>
      </c>
      <c r="K29" s="117"/>
      <c r="L29" s="117"/>
      <c r="M29" s="117"/>
      <c r="N29" s="117"/>
      <c r="O29" s="120">
        <f>SUM(I29:N29)</f>
        <v>144</v>
      </c>
      <c r="P29" s="117"/>
      <c r="Q29" s="117"/>
      <c r="R29" s="117">
        <f>fsp!$D$125</f>
        <v>144</v>
      </c>
      <c r="S29" s="117"/>
      <c r="T29" s="117"/>
      <c r="U29" s="117"/>
      <c r="V29" s="117"/>
      <c r="W29" s="117"/>
      <c r="X29" s="120">
        <f>SUM(P29:W29)</f>
        <v>144</v>
      </c>
      <c r="Y29" s="117">
        <f>iét!$D$83</f>
        <v>720</v>
      </c>
      <c r="Z29" s="117">
        <f>Y29*iét!$D$226</f>
        <v>146.2810911732947</v>
      </c>
      <c r="AA29" s="117">
        <f>Y29*iét!$D$227</f>
        <v>448.0497110786034</v>
      </c>
      <c r="AB29" s="117">
        <f>Y29*iét!$D$228</f>
        <v>125.66919774810184</v>
      </c>
      <c r="AC29" s="117">
        <f>Y29*iét!$D$229</f>
        <v>0</v>
      </c>
      <c r="AD29" s="120">
        <f t="shared" si="5"/>
        <v>720</v>
      </c>
      <c r="AE29" s="117"/>
      <c r="AF29" s="117">
        <f>elsz!$D$45</f>
        <v>144</v>
      </c>
      <c r="AG29" s="120">
        <f>SUM(AE29:AF29)</f>
        <v>144</v>
      </c>
      <c r="AH29" s="131">
        <f t="shared" si="6"/>
        <v>1656</v>
      </c>
    </row>
    <row r="30" spans="1:34" ht="12">
      <c r="A30" s="115" t="s">
        <v>89</v>
      </c>
      <c r="B30" s="117">
        <f>hiv!D72</f>
        <v>900</v>
      </c>
      <c r="C30" s="117"/>
      <c r="D30" s="117"/>
      <c r="E30" s="120">
        <f>SUM(B30:D30)</f>
        <v>900</v>
      </c>
      <c r="F30" s="117">
        <f>isk!D34</f>
        <v>0</v>
      </c>
      <c r="G30" s="117"/>
      <c r="H30" s="120">
        <f>SUM(F30:G30)</f>
        <v>0</v>
      </c>
      <c r="I30" s="117"/>
      <c r="J30" s="117"/>
      <c r="K30" s="117"/>
      <c r="L30" s="117"/>
      <c r="M30" s="117"/>
      <c r="N30" s="117"/>
      <c r="O30" s="120">
        <f>SUM(I30:N30)</f>
        <v>0</v>
      </c>
      <c r="P30" s="117"/>
      <c r="Q30" s="117"/>
      <c r="R30" s="117"/>
      <c r="S30" s="117"/>
      <c r="T30" s="117"/>
      <c r="U30" s="117"/>
      <c r="V30" s="117"/>
      <c r="W30" s="117"/>
      <c r="X30" s="120">
        <f>SUM(P30:W30)</f>
        <v>0</v>
      </c>
      <c r="Y30" s="117">
        <f>iét!$D$88</f>
        <v>0</v>
      </c>
      <c r="Z30" s="117">
        <f>Y30*iét!$D$226</f>
        <v>0</v>
      </c>
      <c r="AA30" s="117">
        <f>Y30*iét!$D$227</f>
        <v>0</v>
      </c>
      <c r="AB30" s="117">
        <f>Y30*iét!$D$228</f>
        <v>0</v>
      </c>
      <c r="AC30" s="117">
        <f>Y30*iét!$D$229</f>
        <v>0</v>
      </c>
      <c r="AD30" s="120">
        <f t="shared" si="5"/>
        <v>0</v>
      </c>
      <c r="AE30" s="117"/>
      <c r="AF30" s="117">
        <f>elsz!$D$46</f>
        <v>0</v>
      </c>
      <c r="AG30" s="120">
        <f>SUM(AE30:AF30)</f>
        <v>0</v>
      </c>
      <c r="AH30" s="131">
        <f t="shared" si="6"/>
        <v>900</v>
      </c>
    </row>
    <row r="31" spans="1:34" ht="12">
      <c r="A31" s="121" t="s">
        <v>90</v>
      </c>
      <c r="B31" s="122">
        <f aca="true" t="shared" si="13" ref="B31:AH31">SUM(B26:B30)</f>
        <v>1265</v>
      </c>
      <c r="C31" s="122"/>
      <c r="D31" s="122">
        <f t="shared" si="13"/>
        <v>111</v>
      </c>
      <c r="E31" s="122">
        <f t="shared" si="13"/>
        <v>1376</v>
      </c>
      <c r="F31" s="122">
        <f>SUM(F26:F30)</f>
        <v>144</v>
      </c>
      <c r="G31" s="122">
        <f t="shared" si="13"/>
        <v>0</v>
      </c>
      <c r="H31" s="122">
        <f t="shared" si="13"/>
        <v>144</v>
      </c>
      <c r="I31" s="122">
        <f t="shared" si="13"/>
        <v>0</v>
      </c>
      <c r="J31" s="122">
        <f t="shared" si="13"/>
        <v>144</v>
      </c>
      <c r="K31" s="122">
        <f t="shared" si="13"/>
        <v>0</v>
      </c>
      <c r="L31" s="122">
        <f t="shared" si="13"/>
        <v>0</v>
      </c>
      <c r="M31" s="122">
        <f t="shared" si="13"/>
        <v>0</v>
      </c>
      <c r="N31" s="122">
        <f t="shared" si="13"/>
        <v>0</v>
      </c>
      <c r="O31" s="122">
        <f t="shared" si="13"/>
        <v>144</v>
      </c>
      <c r="P31" s="122">
        <f t="shared" si="13"/>
        <v>0</v>
      </c>
      <c r="Q31" s="122">
        <f t="shared" si="13"/>
        <v>0</v>
      </c>
      <c r="R31" s="122">
        <f t="shared" si="13"/>
        <v>264</v>
      </c>
      <c r="S31" s="122">
        <f t="shared" si="13"/>
        <v>0</v>
      </c>
      <c r="T31" s="122">
        <f t="shared" si="13"/>
        <v>0</v>
      </c>
      <c r="U31" s="122">
        <f>SUM(U26:U30)</f>
        <v>0</v>
      </c>
      <c r="V31" s="122">
        <f>SUM(V26:V30)</f>
        <v>0</v>
      </c>
      <c r="W31" s="122">
        <f>SUM(W26:W30)</f>
        <v>0</v>
      </c>
      <c r="X31" s="122">
        <f t="shared" si="13"/>
        <v>264</v>
      </c>
      <c r="Y31" s="122">
        <f t="shared" si="13"/>
        <v>720</v>
      </c>
      <c r="Z31" s="122">
        <f t="shared" si="13"/>
        <v>146.2810911732947</v>
      </c>
      <c r="AA31" s="122">
        <f t="shared" si="13"/>
        <v>448.0497110786034</v>
      </c>
      <c r="AB31" s="122">
        <f t="shared" si="13"/>
        <v>125.66919774810184</v>
      </c>
      <c r="AC31" s="122">
        <f>SUM(AC26:AC30)</f>
        <v>0</v>
      </c>
      <c r="AD31" s="122">
        <f>SUM(AD26:AD30)</f>
        <v>720</v>
      </c>
      <c r="AE31" s="122">
        <f t="shared" si="13"/>
        <v>0</v>
      </c>
      <c r="AF31" s="122">
        <f t="shared" si="13"/>
        <v>144</v>
      </c>
      <c r="AG31" s="122">
        <f t="shared" si="13"/>
        <v>144</v>
      </c>
      <c r="AH31" s="122">
        <f t="shared" si="13"/>
        <v>2792</v>
      </c>
    </row>
    <row r="32" spans="1:34" ht="12">
      <c r="A32" s="115" t="s">
        <v>470</v>
      </c>
      <c r="B32" s="117"/>
      <c r="C32" s="117"/>
      <c r="D32" s="117"/>
      <c r="E32" s="120">
        <f>SUM(B32:D32)</f>
        <v>0</v>
      </c>
      <c r="F32" s="117"/>
      <c r="G32" s="117"/>
      <c r="H32" s="120">
        <f>SUM(F32:G32)</f>
        <v>0</v>
      </c>
      <c r="I32" s="117"/>
      <c r="J32" s="117"/>
      <c r="K32" s="117"/>
      <c r="L32" s="117"/>
      <c r="M32" s="117"/>
      <c r="N32" s="117"/>
      <c r="O32" s="120">
        <f>SUM(I32:N32)</f>
        <v>0</v>
      </c>
      <c r="P32" s="117"/>
      <c r="Q32" s="117"/>
      <c r="R32" s="117"/>
      <c r="S32" s="117"/>
      <c r="T32" s="117"/>
      <c r="U32" s="117"/>
      <c r="V32" s="117"/>
      <c r="W32" s="117"/>
      <c r="X32" s="120">
        <f>SUM(P32:W32)</f>
        <v>0</v>
      </c>
      <c r="Y32" s="117"/>
      <c r="Z32" s="117">
        <f>Y32*iét!$D$226</f>
        <v>0</v>
      </c>
      <c r="AA32" s="117">
        <f>Y32*iét!$D$227</f>
        <v>0</v>
      </c>
      <c r="AB32" s="117">
        <f>Y32*iét!$D$228</f>
        <v>0</v>
      </c>
      <c r="AC32" s="117">
        <f>Y32*iét!$D$229</f>
        <v>0</v>
      </c>
      <c r="AD32" s="120">
        <f t="shared" si="5"/>
        <v>0</v>
      </c>
      <c r="AE32" s="117"/>
      <c r="AF32" s="117"/>
      <c r="AG32" s="120">
        <f>SUM(AE32:AF32)</f>
        <v>0</v>
      </c>
      <c r="AH32" s="131">
        <f t="shared" si="6"/>
        <v>0</v>
      </c>
    </row>
    <row r="33" spans="1:34" ht="12">
      <c r="A33" s="116" t="s">
        <v>91</v>
      </c>
      <c r="B33" s="118">
        <f aca="true" t="shared" si="14" ref="B33:AH33">B31+B32</f>
        <v>1265</v>
      </c>
      <c r="C33" s="118"/>
      <c r="D33" s="118">
        <f t="shared" si="14"/>
        <v>111</v>
      </c>
      <c r="E33" s="118">
        <f t="shared" si="14"/>
        <v>1376</v>
      </c>
      <c r="F33" s="118">
        <f>F31+F32</f>
        <v>144</v>
      </c>
      <c r="G33" s="118">
        <f t="shared" si="14"/>
        <v>0</v>
      </c>
      <c r="H33" s="118">
        <f t="shared" si="14"/>
        <v>144</v>
      </c>
      <c r="I33" s="118">
        <f t="shared" si="14"/>
        <v>0</v>
      </c>
      <c r="J33" s="118">
        <f t="shared" si="14"/>
        <v>144</v>
      </c>
      <c r="K33" s="118">
        <f t="shared" si="14"/>
        <v>0</v>
      </c>
      <c r="L33" s="118">
        <f t="shared" si="14"/>
        <v>0</v>
      </c>
      <c r="M33" s="118">
        <f t="shared" si="14"/>
        <v>0</v>
      </c>
      <c r="N33" s="118">
        <f t="shared" si="14"/>
        <v>0</v>
      </c>
      <c r="O33" s="118">
        <f t="shared" si="14"/>
        <v>144</v>
      </c>
      <c r="P33" s="118">
        <f t="shared" si="14"/>
        <v>0</v>
      </c>
      <c r="Q33" s="118">
        <f t="shared" si="14"/>
        <v>0</v>
      </c>
      <c r="R33" s="118">
        <f t="shared" si="14"/>
        <v>264</v>
      </c>
      <c r="S33" s="118">
        <f t="shared" si="14"/>
        <v>0</v>
      </c>
      <c r="T33" s="118">
        <f t="shared" si="14"/>
        <v>0</v>
      </c>
      <c r="U33" s="118">
        <f>U31+U32</f>
        <v>0</v>
      </c>
      <c r="V33" s="118">
        <f>V31+V32</f>
        <v>0</v>
      </c>
      <c r="W33" s="118">
        <f>W31+W32</f>
        <v>0</v>
      </c>
      <c r="X33" s="118">
        <f t="shared" si="14"/>
        <v>264</v>
      </c>
      <c r="Y33" s="118">
        <f t="shared" si="14"/>
        <v>720</v>
      </c>
      <c r="Z33" s="118">
        <f t="shared" si="14"/>
        <v>146.2810911732947</v>
      </c>
      <c r="AA33" s="118">
        <f t="shared" si="14"/>
        <v>448.0497110786034</v>
      </c>
      <c r="AB33" s="118">
        <f t="shared" si="14"/>
        <v>125.66919774810184</v>
      </c>
      <c r="AC33" s="118">
        <f>AC31+AC32</f>
        <v>0</v>
      </c>
      <c r="AD33" s="118">
        <f>AD31+AD32</f>
        <v>720</v>
      </c>
      <c r="AE33" s="118">
        <f t="shared" si="14"/>
        <v>0</v>
      </c>
      <c r="AF33" s="118">
        <f t="shared" si="14"/>
        <v>144</v>
      </c>
      <c r="AG33" s="118">
        <f t="shared" si="14"/>
        <v>144</v>
      </c>
      <c r="AH33" s="118">
        <f t="shared" si="14"/>
        <v>2792</v>
      </c>
    </row>
    <row r="34" spans="1:34" ht="12">
      <c r="A34" s="115" t="s">
        <v>92</v>
      </c>
      <c r="B34" s="117">
        <v>0</v>
      </c>
      <c r="C34" s="117"/>
      <c r="D34" s="117"/>
      <c r="E34" s="120">
        <f>SUM(B34:D34)</f>
        <v>0</v>
      </c>
      <c r="F34" s="117"/>
      <c r="G34" s="117"/>
      <c r="H34" s="120">
        <f>SUM(F34:G34)</f>
        <v>0</v>
      </c>
      <c r="I34" s="117"/>
      <c r="J34" s="117"/>
      <c r="K34" s="117"/>
      <c r="L34" s="117"/>
      <c r="M34" s="117"/>
      <c r="N34" s="117"/>
      <c r="O34" s="120">
        <f>SUM(I34:N34)</f>
        <v>0</v>
      </c>
      <c r="P34" s="117"/>
      <c r="Q34" s="117"/>
      <c r="R34" s="117"/>
      <c r="S34" s="117"/>
      <c r="T34" s="117"/>
      <c r="U34" s="117"/>
      <c r="V34" s="117"/>
      <c r="W34" s="117"/>
      <c r="X34" s="120">
        <f>SUM(P34:W34)</f>
        <v>0</v>
      </c>
      <c r="Y34" s="117"/>
      <c r="Z34" s="117">
        <f>Y34*iét!$D$226</f>
        <v>0</v>
      </c>
      <c r="AA34" s="117">
        <f>Y34*iét!$D$227</f>
        <v>0</v>
      </c>
      <c r="AB34" s="117">
        <f>Y34*iét!$D$228</f>
        <v>0</v>
      </c>
      <c r="AC34" s="117">
        <f>Y34*iét!$D$229</f>
        <v>0</v>
      </c>
      <c r="AD34" s="120">
        <f t="shared" si="5"/>
        <v>0</v>
      </c>
      <c r="AE34" s="117"/>
      <c r="AF34" s="117"/>
      <c r="AG34" s="120">
        <f>SUM(AE34:AF34)</f>
        <v>0</v>
      </c>
      <c r="AH34" s="131">
        <f t="shared" si="6"/>
        <v>0</v>
      </c>
    </row>
    <row r="35" spans="1:34" ht="12">
      <c r="A35" s="115" t="s">
        <v>836</v>
      </c>
      <c r="B35" s="117"/>
      <c r="C35" s="117"/>
      <c r="D35" s="117"/>
      <c r="E35" s="120">
        <f>SUM(B35:D35)</f>
        <v>0</v>
      </c>
      <c r="F35" s="117"/>
      <c r="G35" s="117"/>
      <c r="H35" s="120">
        <f>SUM(F35:G35)</f>
        <v>0</v>
      </c>
      <c r="I35" s="117"/>
      <c r="J35" s="117"/>
      <c r="K35" s="117"/>
      <c r="L35" s="117"/>
      <c r="M35" s="117"/>
      <c r="N35" s="117"/>
      <c r="O35" s="120">
        <f>SUM(I35:N35)</f>
        <v>0</v>
      </c>
      <c r="P35" s="117"/>
      <c r="Q35" s="117"/>
      <c r="R35" s="117"/>
      <c r="S35" s="117"/>
      <c r="T35" s="117"/>
      <c r="U35" s="117"/>
      <c r="V35" s="117"/>
      <c r="W35" s="117"/>
      <c r="X35" s="120">
        <f>SUM(P35:W35)</f>
        <v>0</v>
      </c>
      <c r="Y35" s="117"/>
      <c r="Z35" s="117">
        <f>Y35*iét!$D$226</f>
        <v>0</v>
      </c>
      <c r="AA35" s="117">
        <f>Y35*iét!$D$227</f>
        <v>0</v>
      </c>
      <c r="AB35" s="117">
        <f>Y35*iét!$D$228</f>
        <v>0</v>
      </c>
      <c r="AC35" s="117">
        <f>Y35*iét!$D$229</f>
        <v>0</v>
      </c>
      <c r="AD35" s="120">
        <f t="shared" si="5"/>
        <v>0</v>
      </c>
      <c r="AE35" s="117"/>
      <c r="AF35" s="117"/>
      <c r="AG35" s="120">
        <f>SUM(AE35:AF35)</f>
        <v>0</v>
      </c>
      <c r="AH35" s="131">
        <f t="shared" si="6"/>
        <v>0</v>
      </c>
    </row>
    <row r="36" spans="1:34" ht="12">
      <c r="A36" s="116" t="s">
        <v>837</v>
      </c>
      <c r="B36" s="118">
        <f aca="true" t="shared" si="15" ref="B36:AH36">SUM(B34:B35)</f>
        <v>0</v>
      </c>
      <c r="C36" s="118"/>
      <c r="D36" s="118">
        <f t="shared" si="15"/>
        <v>0</v>
      </c>
      <c r="E36" s="118">
        <f t="shared" si="15"/>
        <v>0</v>
      </c>
      <c r="F36" s="118">
        <f>SUM(F34:F35)</f>
        <v>0</v>
      </c>
      <c r="G36" s="118">
        <f t="shared" si="15"/>
        <v>0</v>
      </c>
      <c r="H36" s="118">
        <f t="shared" si="15"/>
        <v>0</v>
      </c>
      <c r="I36" s="118">
        <f t="shared" si="15"/>
        <v>0</v>
      </c>
      <c r="J36" s="118">
        <f t="shared" si="15"/>
        <v>0</v>
      </c>
      <c r="K36" s="118">
        <f t="shared" si="15"/>
        <v>0</v>
      </c>
      <c r="L36" s="118">
        <f t="shared" si="15"/>
        <v>0</v>
      </c>
      <c r="M36" s="118">
        <f t="shared" si="15"/>
        <v>0</v>
      </c>
      <c r="N36" s="118">
        <f t="shared" si="15"/>
        <v>0</v>
      </c>
      <c r="O36" s="118">
        <f t="shared" si="15"/>
        <v>0</v>
      </c>
      <c r="P36" s="118">
        <f t="shared" si="15"/>
        <v>0</v>
      </c>
      <c r="Q36" s="118">
        <f t="shared" si="15"/>
        <v>0</v>
      </c>
      <c r="R36" s="118">
        <f t="shared" si="15"/>
        <v>0</v>
      </c>
      <c r="S36" s="118">
        <f t="shared" si="15"/>
        <v>0</v>
      </c>
      <c r="T36" s="118">
        <f t="shared" si="15"/>
        <v>0</v>
      </c>
      <c r="U36" s="118">
        <f>SUM(U34:U35)</f>
        <v>0</v>
      </c>
      <c r="V36" s="118">
        <f>SUM(V34:V35)</f>
        <v>0</v>
      </c>
      <c r="W36" s="118">
        <f>SUM(W34:W35)</f>
        <v>0</v>
      </c>
      <c r="X36" s="118">
        <f t="shared" si="15"/>
        <v>0</v>
      </c>
      <c r="Y36" s="118">
        <f t="shared" si="15"/>
        <v>0</v>
      </c>
      <c r="Z36" s="118">
        <f t="shared" si="15"/>
        <v>0</v>
      </c>
      <c r="AA36" s="118">
        <f t="shared" si="15"/>
        <v>0</v>
      </c>
      <c r="AB36" s="118">
        <f t="shared" si="15"/>
        <v>0</v>
      </c>
      <c r="AC36" s="118">
        <f>SUM(AC34:AC35)</f>
        <v>0</v>
      </c>
      <c r="AD36" s="118">
        <f>SUM(AD34:AD35)</f>
        <v>0</v>
      </c>
      <c r="AE36" s="118">
        <f t="shared" si="15"/>
        <v>0</v>
      </c>
      <c r="AF36" s="118">
        <f t="shared" si="15"/>
        <v>0</v>
      </c>
      <c r="AG36" s="118">
        <f t="shared" si="15"/>
        <v>0</v>
      </c>
      <c r="AH36" s="118">
        <f t="shared" si="15"/>
        <v>0</v>
      </c>
    </row>
    <row r="37" spans="1:34" ht="12">
      <c r="A37" s="125" t="s">
        <v>838</v>
      </c>
      <c r="B37" s="126">
        <f aca="true" t="shared" si="16" ref="B37:AH37">B15+B23+B31+B34</f>
        <v>1638</v>
      </c>
      <c r="C37" s="126"/>
      <c r="D37" s="126">
        <f t="shared" si="16"/>
        <v>111</v>
      </c>
      <c r="E37" s="126">
        <f t="shared" si="16"/>
        <v>1749</v>
      </c>
      <c r="F37" s="126">
        <f t="shared" si="16"/>
        <v>232</v>
      </c>
      <c r="G37" s="126">
        <f t="shared" si="16"/>
        <v>0</v>
      </c>
      <c r="H37" s="126">
        <f t="shared" si="16"/>
        <v>232</v>
      </c>
      <c r="I37" s="126">
        <f t="shared" si="16"/>
        <v>0</v>
      </c>
      <c r="J37" s="126">
        <f t="shared" si="16"/>
        <v>228</v>
      </c>
      <c r="K37" s="126">
        <f t="shared" si="16"/>
        <v>0</v>
      </c>
      <c r="L37" s="126">
        <f t="shared" si="16"/>
        <v>0</v>
      </c>
      <c r="M37" s="126">
        <f t="shared" si="16"/>
        <v>0</v>
      </c>
      <c r="N37" s="126">
        <f t="shared" si="16"/>
        <v>0</v>
      </c>
      <c r="O37" s="126">
        <f t="shared" si="16"/>
        <v>228</v>
      </c>
      <c r="P37" s="126">
        <f t="shared" si="16"/>
        <v>0</v>
      </c>
      <c r="Q37" s="126">
        <f t="shared" si="16"/>
        <v>0</v>
      </c>
      <c r="R37" s="126">
        <f t="shared" si="16"/>
        <v>264</v>
      </c>
      <c r="S37" s="126">
        <f t="shared" si="16"/>
        <v>0</v>
      </c>
      <c r="T37" s="126">
        <f t="shared" si="16"/>
        <v>0</v>
      </c>
      <c r="U37" s="126">
        <f aca="true" t="shared" si="17" ref="U37:W38">U15+U23+U31+U34</f>
        <v>0</v>
      </c>
      <c r="V37" s="126">
        <f t="shared" si="17"/>
        <v>0</v>
      </c>
      <c r="W37" s="126">
        <f t="shared" si="17"/>
        <v>0</v>
      </c>
      <c r="X37" s="126">
        <f t="shared" si="16"/>
        <v>264</v>
      </c>
      <c r="Y37" s="126">
        <f t="shared" si="16"/>
        <v>720</v>
      </c>
      <c r="Z37" s="126">
        <f t="shared" si="16"/>
        <v>146.2810911732947</v>
      </c>
      <c r="AA37" s="126">
        <f t="shared" si="16"/>
        <v>448.0497110786034</v>
      </c>
      <c r="AB37" s="126">
        <f t="shared" si="16"/>
        <v>125.66919774810184</v>
      </c>
      <c r="AC37" s="126">
        <f>AC15+AC23+AC31+AC34</f>
        <v>0</v>
      </c>
      <c r="AD37" s="126">
        <f>AD15+AD23+AD31+AD34</f>
        <v>720</v>
      </c>
      <c r="AE37" s="126">
        <f t="shared" si="16"/>
        <v>0</v>
      </c>
      <c r="AF37" s="126">
        <f t="shared" si="16"/>
        <v>144</v>
      </c>
      <c r="AG37" s="126">
        <f t="shared" si="16"/>
        <v>144</v>
      </c>
      <c r="AH37" s="126">
        <f t="shared" si="16"/>
        <v>3337</v>
      </c>
    </row>
    <row r="38" spans="1:34" ht="12">
      <c r="A38" s="125" t="s">
        <v>839</v>
      </c>
      <c r="B38" s="126">
        <f aca="true" t="shared" si="18" ref="B38:AH38">B16+B24+B32+B35</f>
        <v>0</v>
      </c>
      <c r="C38" s="126"/>
      <c r="D38" s="126">
        <f t="shared" si="18"/>
        <v>0</v>
      </c>
      <c r="E38" s="126">
        <f t="shared" si="18"/>
        <v>0</v>
      </c>
      <c r="F38" s="126">
        <f t="shared" si="18"/>
        <v>0</v>
      </c>
      <c r="G38" s="126">
        <f t="shared" si="18"/>
        <v>0</v>
      </c>
      <c r="H38" s="126">
        <f t="shared" si="18"/>
        <v>0</v>
      </c>
      <c r="I38" s="126">
        <f t="shared" si="18"/>
        <v>0</v>
      </c>
      <c r="J38" s="126">
        <f t="shared" si="18"/>
        <v>0</v>
      </c>
      <c r="K38" s="126">
        <f t="shared" si="18"/>
        <v>0</v>
      </c>
      <c r="L38" s="126">
        <f t="shared" si="18"/>
        <v>0</v>
      </c>
      <c r="M38" s="126">
        <f t="shared" si="18"/>
        <v>0</v>
      </c>
      <c r="N38" s="126">
        <f t="shared" si="18"/>
        <v>0</v>
      </c>
      <c r="O38" s="126">
        <f t="shared" si="18"/>
        <v>0</v>
      </c>
      <c r="P38" s="126">
        <f t="shared" si="18"/>
        <v>0</v>
      </c>
      <c r="Q38" s="126">
        <f t="shared" si="18"/>
        <v>0</v>
      </c>
      <c r="R38" s="126">
        <f t="shared" si="18"/>
        <v>0</v>
      </c>
      <c r="S38" s="126">
        <f t="shared" si="18"/>
        <v>0</v>
      </c>
      <c r="T38" s="126">
        <f t="shared" si="18"/>
        <v>0</v>
      </c>
      <c r="U38" s="126">
        <f t="shared" si="17"/>
        <v>0</v>
      </c>
      <c r="V38" s="126">
        <f t="shared" si="17"/>
        <v>0</v>
      </c>
      <c r="W38" s="126">
        <f t="shared" si="17"/>
        <v>0</v>
      </c>
      <c r="X38" s="126">
        <f t="shared" si="18"/>
        <v>0</v>
      </c>
      <c r="Y38" s="126">
        <f t="shared" si="18"/>
        <v>0</v>
      </c>
      <c r="Z38" s="126">
        <f t="shared" si="18"/>
        <v>0</v>
      </c>
      <c r="AA38" s="126">
        <f t="shared" si="18"/>
        <v>0</v>
      </c>
      <c r="AB38" s="126">
        <f t="shared" si="18"/>
        <v>0</v>
      </c>
      <c r="AC38" s="126">
        <f>AC16+AC24+AC32+AC35</f>
        <v>0</v>
      </c>
      <c r="AD38" s="126">
        <f>AD16+AD24+AD32+AD35</f>
        <v>0</v>
      </c>
      <c r="AE38" s="126">
        <f t="shared" si="18"/>
        <v>0</v>
      </c>
      <c r="AF38" s="126">
        <f t="shared" si="18"/>
        <v>0</v>
      </c>
      <c r="AG38" s="126">
        <f t="shared" si="18"/>
        <v>0</v>
      </c>
      <c r="AH38" s="126">
        <f t="shared" si="18"/>
        <v>0</v>
      </c>
    </row>
    <row r="39" spans="1:34" ht="12">
      <c r="A39" s="136" t="s">
        <v>840</v>
      </c>
      <c r="B39" s="137">
        <f aca="true" t="shared" si="19" ref="B39:AH39">B37+B38</f>
        <v>1638</v>
      </c>
      <c r="C39" s="137"/>
      <c r="D39" s="137">
        <f t="shared" si="19"/>
        <v>111</v>
      </c>
      <c r="E39" s="137">
        <f t="shared" si="19"/>
        <v>1749</v>
      </c>
      <c r="F39" s="137">
        <f t="shared" si="19"/>
        <v>232</v>
      </c>
      <c r="G39" s="137">
        <f t="shared" si="19"/>
        <v>0</v>
      </c>
      <c r="H39" s="137">
        <f t="shared" si="19"/>
        <v>232</v>
      </c>
      <c r="I39" s="137">
        <f t="shared" si="19"/>
        <v>0</v>
      </c>
      <c r="J39" s="137">
        <f t="shared" si="19"/>
        <v>228</v>
      </c>
      <c r="K39" s="137">
        <f t="shared" si="19"/>
        <v>0</v>
      </c>
      <c r="L39" s="137">
        <f t="shared" si="19"/>
        <v>0</v>
      </c>
      <c r="M39" s="137">
        <f t="shared" si="19"/>
        <v>0</v>
      </c>
      <c r="N39" s="137">
        <f t="shared" si="19"/>
        <v>0</v>
      </c>
      <c r="O39" s="137">
        <f t="shared" si="19"/>
        <v>228</v>
      </c>
      <c r="P39" s="137">
        <f t="shared" si="19"/>
        <v>0</v>
      </c>
      <c r="Q39" s="137">
        <f t="shared" si="19"/>
        <v>0</v>
      </c>
      <c r="R39" s="137">
        <f t="shared" si="19"/>
        <v>264</v>
      </c>
      <c r="S39" s="137">
        <f t="shared" si="19"/>
        <v>0</v>
      </c>
      <c r="T39" s="137">
        <f t="shared" si="19"/>
        <v>0</v>
      </c>
      <c r="U39" s="137">
        <f>U37+U38</f>
        <v>0</v>
      </c>
      <c r="V39" s="137">
        <f>V37+V38</f>
        <v>0</v>
      </c>
      <c r="W39" s="137">
        <f>W37+W38</f>
        <v>0</v>
      </c>
      <c r="X39" s="137">
        <f t="shared" si="19"/>
        <v>264</v>
      </c>
      <c r="Y39" s="137">
        <f t="shared" si="19"/>
        <v>720</v>
      </c>
      <c r="Z39" s="137">
        <f t="shared" si="19"/>
        <v>146.2810911732947</v>
      </c>
      <c r="AA39" s="137">
        <f t="shared" si="19"/>
        <v>448.0497110786034</v>
      </c>
      <c r="AB39" s="137">
        <f t="shared" si="19"/>
        <v>125.66919774810184</v>
      </c>
      <c r="AC39" s="137">
        <f>AC37+AC38</f>
        <v>0</v>
      </c>
      <c r="AD39" s="137">
        <f>AD37+AD38</f>
        <v>720</v>
      </c>
      <c r="AE39" s="137">
        <f t="shared" si="19"/>
        <v>0</v>
      </c>
      <c r="AF39" s="137">
        <f t="shared" si="19"/>
        <v>144</v>
      </c>
      <c r="AG39" s="137">
        <f t="shared" si="19"/>
        <v>144</v>
      </c>
      <c r="AH39" s="137">
        <f t="shared" si="19"/>
        <v>3337</v>
      </c>
    </row>
    <row r="40" spans="1:34" ht="12">
      <c r="A40" s="115" t="s">
        <v>127</v>
      </c>
      <c r="B40" s="117">
        <f>hiv!D85</f>
        <v>2316</v>
      </c>
      <c r="C40" s="117"/>
      <c r="D40" s="117"/>
      <c r="E40" s="120">
        <f aca="true" t="shared" si="20" ref="E40:E45">SUM(B40:D40)</f>
        <v>2316</v>
      </c>
      <c r="F40" s="117"/>
      <c r="G40" s="117"/>
      <c r="H40" s="120">
        <f aca="true" t="shared" si="21" ref="H40:H45">SUM(F40:G40)</f>
        <v>0</v>
      </c>
      <c r="I40" s="117"/>
      <c r="J40" s="117">
        <f>teü!$D$47</f>
        <v>70</v>
      </c>
      <c r="K40" s="117"/>
      <c r="L40" s="117"/>
      <c r="M40" s="117"/>
      <c r="N40" s="117"/>
      <c r="O40" s="120">
        <f aca="true" t="shared" si="22" ref="O40:O45">SUM(I40:N40)</f>
        <v>70</v>
      </c>
      <c r="P40" s="117"/>
      <c r="Q40" s="117"/>
      <c r="R40" s="117"/>
      <c r="S40" s="117"/>
      <c r="T40" s="117"/>
      <c r="U40" s="117"/>
      <c r="V40" s="117"/>
      <c r="W40" s="117"/>
      <c r="X40" s="120">
        <f aca="true" t="shared" si="23" ref="X40:X45">SUM(P40:W40)</f>
        <v>0</v>
      </c>
      <c r="Y40" s="117"/>
      <c r="Z40" s="117">
        <f>Y40*iét!$D$226</f>
        <v>0</v>
      </c>
      <c r="AA40" s="117">
        <f>Y40*iét!$D$227</f>
        <v>0</v>
      </c>
      <c r="AB40" s="117">
        <f>Y40*iét!$D$228</f>
        <v>0</v>
      </c>
      <c r="AC40" s="117">
        <f>Y40*iét!$D$229</f>
        <v>0</v>
      </c>
      <c r="AD40" s="120">
        <f t="shared" si="5"/>
        <v>0</v>
      </c>
      <c r="AE40" s="117"/>
      <c r="AF40" s="117">
        <f>elsz!$D$51</f>
        <v>0</v>
      </c>
      <c r="AG40" s="120">
        <f aca="true" t="shared" si="24" ref="AG40:AG45">SUM(AE40:AF40)</f>
        <v>0</v>
      </c>
      <c r="AH40" s="131">
        <f aca="true" t="shared" si="25" ref="AH40:AH45">E40+H40+O40+X40+AD40+AG40</f>
        <v>2386</v>
      </c>
    </row>
    <row r="41" spans="1:34" ht="12">
      <c r="A41" s="115" t="s">
        <v>128</v>
      </c>
      <c r="B41" s="117"/>
      <c r="C41" s="117"/>
      <c r="D41" s="117"/>
      <c r="E41" s="120">
        <f t="shared" si="20"/>
        <v>0</v>
      </c>
      <c r="F41" s="117"/>
      <c r="G41" s="117"/>
      <c r="H41" s="120">
        <f t="shared" si="21"/>
        <v>0</v>
      </c>
      <c r="I41" s="117"/>
      <c r="J41" s="117"/>
      <c r="K41" s="117"/>
      <c r="L41" s="117"/>
      <c r="M41" s="117"/>
      <c r="N41" s="117"/>
      <c r="O41" s="120">
        <f t="shared" si="22"/>
        <v>0</v>
      </c>
      <c r="P41" s="117"/>
      <c r="Q41" s="117"/>
      <c r="R41" s="117"/>
      <c r="S41" s="117"/>
      <c r="T41" s="117"/>
      <c r="U41" s="117"/>
      <c r="V41" s="117"/>
      <c r="W41" s="117"/>
      <c r="X41" s="120">
        <f t="shared" si="23"/>
        <v>0</v>
      </c>
      <c r="Y41" s="117"/>
      <c r="Z41" s="117">
        <f>Y41*iét!$D$226</f>
        <v>0</v>
      </c>
      <c r="AA41" s="117">
        <f>Y41*iét!$D$227</f>
        <v>0</v>
      </c>
      <c r="AB41" s="117">
        <f>Y41*iét!$D$228</f>
        <v>0</v>
      </c>
      <c r="AC41" s="117">
        <f>Y41*iét!$D$229</f>
        <v>0</v>
      </c>
      <c r="AD41" s="120">
        <f t="shared" si="5"/>
        <v>0</v>
      </c>
      <c r="AE41" s="117"/>
      <c r="AF41" s="117"/>
      <c r="AG41" s="120">
        <f t="shared" si="24"/>
        <v>0</v>
      </c>
      <c r="AH41" s="131">
        <f t="shared" si="25"/>
        <v>0</v>
      </c>
    </row>
    <row r="42" spans="1:34" ht="12">
      <c r="A42" s="115" t="s">
        <v>129</v>
      </c>
      <c r="B42" s="117"/>
      <c r="C42" s="117"/>
      <c r="D42" s="117"/>
      <c r="E42" s="120">
        <f t="shared" si="20"/>
        <v>0</v>
      </c>
      <c r="F42" s="117"/>
      <c r="G42" s="117"/>
      <c r="H42" s="120">
        <f t="shared" si="21"/>
        <v>0</v>
      </c>
      <c r="I42" s="117"/>
      <c r="J42" s="117"/>
      <c r="K42" s="117"/>
      <c r="L42" s="117"/>
      <c r="M42" s="117"/>
      <c r="N42" s="117"/>
      <c r="O42" s="120">
        <f t="shared" si="22"/>
        <v>0</v>
      </c>
      <c r="P42" s="117"/>
      <c r="Q42" s="117"/>
      <c r="R42" s="117"/>
      <c r="S42" s="117"/>
      <c r="T42" s="117"/>
      <c r="U42" s="117"/>
      <c r="V42" s="117"/>
      <c r="W42" s="117"/>
      <c r="X42" s="120">
        <f t="shared" si="23"/>
        <v>0</v>
      </c>
      <c r="Y42" s="117"/>
      <c r="Z42" s="117">
        <f>Y42*iét!$D$226</f>
        <v>0</v>
      </c>
      <c r="AA42" s="117">
        <f>Y42*iét!$D$227</f>
        <v>0</v>
      </c>
      <c r="AB42" s="117">
        <f>Y42*iét!$D$228</f>
        <v>0</v>
      </c>
      <c r="AC42" s="117">
        <f>Y42*iét!$D$229</f>
        <v>0</v>
      </c>
      <c r="AD42" s="120">
        <f t="shared" si="5"/>
        <v>0</v>
      </c>
      <c r="AE42" s="117"/>
      <c r="AF42" s="117"/>
      <c r="AG42" s="120">
        <f t="shared" si="24"/>
        <v>0</v>
      </c>
      <c r="AH42" s="131">
        <f t="shared" si="25"/>
        <v>0</v>
      </c>
    </row>
    <row r="43" spans="1:34" ht="12">
      <c r="A43" s="115" t="s">
        <v>130</v>
      </c>
      <c r="B43" s="117"/>
      <c r="C43" s="117"/>
      <c r="D43" s="117"/>
      <c r="E43" s="120">
        <f t="shared" si="20"/>
        <v>0</v>
      </c>
      <c r="F43" s="117"/>
      <c r="G43" s="117"/>
      <c r="H43" s="120">
        <f t="shared" si="21"/>
        <v>0</v>
      </c>
      <c r="I43" s="117"/>
      <c r="J43" s="117"/>
      <c r="K43" s="117"/>
      <c r="L43" s="117"/>
      <c r="M43" s="117"/>
      <c r="N43" s="117"/>
      <c r="O43" s="120">
        <f t="shared" si="22"/>
        <v>0</v>
      </c>
      <c r="P43" s="117"/>
      <c r="Q43" s="117"/>
      <c r="R43" s="117"/>
      <c r="S43" s="117"/>
      <c r="T43" s="117"/>
      <c r="U43" s="117"/>
      <c r="V43" s="117"/>
      <c r="W43" s="117"/>
      <c r="X43" s="120">
        <f t="shared" si="23"/>
        <v>0</v>
      </c>
      <c r="Y43" s="117"/>
      <c r="Z43" s="117">
        <f>Y43*iét!$D$226</f>
        <v>0</v>
      </c>
      <c r="AA43" s="117">
        <f>Y43*iét!$D$227</f>
        <v>0</v>
      </c>
      <c r="AB43" s="117">
        <f>Y43*iét!$D$228</f>
        <v>0</v>
      </c>
      <c r="AC43" s="117">
        <f>Y43*iét!$D$229</f>
        <v>0</v>
      </c>
      <c r="AD43" s="120">
        <f t="shared" si="5"/>
        <v>0</v>
      </c>
      <c r="AE43" s="117"/>
      <c r="AF43" s="117"/>
      <c r="AG43" s="120">
        <f t="shared" si="24"/>
        <v>0</v>
      </c>
      <c r="AH43" s="131">
        <f t="shared" si="25"/>
        <v>0</v>
      </c>
    </row>
    <row r="44" spans="1:34" ht="12">
      <c r="A44" s="115" t="s">
        <v>74</v>
      </c>
      <c r="B44" s="117"/>
      <c r="C44" s="117"/>
      <c r="D44" s="117"/>
      <c r="E44" s="120">
        <f t="shared" si="20"/>
        <v>0</v>
      </c>
      <c r="F44" s="117"/>
      <c r="G44" s="117"/>
      <c r="H44" s="120">
        <f t="shared" si="21"/>
        <v>0</v>
      </c>
      <c r="I44" s="117"/>
      <c r="J44" s="117"/>
      <c r="K44" s="117"/>
      <c r="L44" s="117"/>
      <c r="M44" s="117"/>
      <c r="N44" s="117"/>
      <c r="O44" s="120">
        <f t="shared" si="22"/>
        <v>0</v>
      </c>
      <c r="P44" s="117"/>
      <c r="Q44" s="117"/>
      <c r="R44" s="117"/>
      <c r="S44" s="117"/>
      <c r="T44" s="117"/>
      <c r="U44" s="117"/>
      <c r="V44" s="117"/>
      <c r="W44" s="117"/>
      <c r="X44" s="120">
        <f t="shared" si="23"/>
        <v>0</v>
      </c>
      <c r="Y44" s="117"/>
      <c r="Z44" s="117">
        <f>Y44*iét!$D$226</f>
        <v>0</v>
      </c>
      <c r="AA44" s="117">
        <f>Y44*iét!$D$227</f>
        <v>0</v>
      </c>
      <c r="AB44" s="117">
        <f>Y44*iét!$D$228</f>
        <v>0</v>
      </c>
      <c r="AC44" s="117">
        <f>Y44*iét!$D$229</f>
        <v>0</v>
      </c>
      <c r="AD44" s="120">
        <f t="shared" si="5"/>
        <v>0</v>
      </c>
      <c r="AE44" s="117"/>
      <c r="AF44" s="117"/>
      <c r="AG44" s="120">
        <f t="shared" si="24"/>
        <v>0</v>
      </c>
      <c r="AH44" s="131">
        <f t="shared" si="25"/>
        <v>0</v>
      </c>
    </row>
    <row r="45" spans="1:34" ht="12">
      <c r="A45" s="115" t="s">
        <v>131</v>
      </c>
      <c r="B45" s="117"/>
      <c r="C45" s="117"/>
      <c r="D45" s="117"/>
      <c r="E45" s="120">
        <f t="shared" si="20"/>
        <v>0</v>
      </c>
      <c r="F45" s="117"/>
      <c r="G45" s="117"/>
      <c r="H45" s="120">
        <f t="shared" si="21"/>
        <v>0</v>
      </c>
      <c r="I45" s="117"/>
      <c r="J45" s="117"/>
      <c r="K45" s="117"/>
      <c r="L45" s="117"/>
      <c r="M45" s="117"/>
      <c r="N45" s="117"/>
      <c r="O45" s="120">
        <f t="shared" si="22"/>
        <v>0</v>
      </c>
      <c r="P45" s="117"/>
      <c r="Q45" s="117"/>
      <c r="R45" s="117"/>
      <c r="S45" s="117"/>
      <c r="T45" s="117"/>
      <c r="U45" s="117"/>
      <c r="V45" s="117"/>
      <c r="W45" s="117"/>
      <c r="X45" s="120">
        <f t="shared" si="23"/>
        <v>0</v>
      </c>
      <c r="Y45" s="117"/>
      <c r="Z45" s="117">
        <f>Y45*iét!$D$226</f>
        <v>0</v>
      </c>
      <c r="AA45" s="117">
        <f>Y45*iét!$D$227</f>
        <v>0</v>
      </c>
      <c r="AB45" s="117">
        <f>Y45*iét!$D$228</f>
        <v>0</v>
      </c>
      <c r="AC45" s="117">
        <f>Y45*iét!$D$229</f>
        <v>0</v>
      </c>
      <c r="AD45" s="120">
        <f t="shared" si="5"/>
        <v>0</v>
      </c>
      <c r="AE45" s="117"/>
      <c r="AF45" s="117"/>
      <c r="AG45" s="120">
        <f t="shared" si="24"/>
        <v>0</v>
      </c>
      <c r="AH45" s="131">
        <f t="shared" si="25"/>
        <v>0</v>
      </c>
    </row>
    <row r="46" spans="1:34" ht="12">
      <c r="A46" s="136" t="s">
        <v>348</v>
      </c>
      <c r="B46" s="137">
        <f aca="true" t="shared" si="26" ref="B46:AH46">SUM(B40:B45)</f>
        <v>2316</v>
      </c>
      <c r="C46" s="137"/>
      <c r="D46" s="137">
        <f t="shared" si="26"/>
        <v>0</v>
      </c>
      <c r="E46" s="137">
        <f t="shared" si="26"/>
        <v>2316</v>
      </c>
      <c r="F46" s="137">
        <f t="shared" si="26"/>
        <v>0</v>
      </c>
      <c r="G46" s="137">
        <f t="shared" si="26"/>
        <v>0</v>
      </c>
      <c r="H46" s="137">
        <f t="shared" si="26"/>
        <v>0</v>
      </c>
      <c r="I46" s="137">
        <f t="shared" si="26"/>
        <v>0</v>
      </c>
      <c r="J46" s="137">
        <f t="shared" si="26"/>
        <v>70</v>
      </c>
      <c r="K46" s="137">
        <f t="shared" si="26"/>
        <v>0</v>
      </c>
      <c r="L46" s="137">
        <f t="shared" si="26"/>
        <v>0</v>
      </c>
      <c r="M46" s="137">
        <f t="shared" si="26"/>
        <v>0</v>
      </c>
      <c r="N46" s="137">
        <f t="shared" si="26"/>
        <v>0</v>
      </c>
      <c r="O46" s="137">
        <f t="shared" si="26"/>
        <v>70</v>
      </c>
      <c r="P46" s="137">
        <f t="shared" si="26"/>
        <v>0</v>
      </c>
      <c r="Q46" s="137">
        <f t="shared" si="26"/>
        <v>0</v>
      </c>
      <c r="R46" s="137">
        <f t="shared" si="26"/>
        <v>0</v>
      </c>
      <c r="S46" s="137">
        <f t="shared" si="26"/>
        <v>0</v>
      </c>
      <c r="T46" s="137">
        <f>SUM(T40:T45)</f>
        <v>0</v>
      </c>
      <c r="U46" s="137">
        <f>SUM(U40:U45)</f>
        <v>0</v>
      </c>
      <c r="V46" s="137">
        <f>SUM(V40:V45)</f>
        <v>0</v>
      </c>
      <c r="W46" s="137">
        <f>SUM(W40:W45)</f>
        <v>0</v>
      </c>
      <c r="X46" s="137">
        <f t="shared" si="26"/>
        <v>0</v>
      </c>
      <c r="Y46" s="137">
        <f t="shared" si="26"/>
        <v>0</v>
      </c>
      <c r="Z46" s="137">
        <f t="shared" si="26"/>
        <v>0</v>
      </c>
      <c r="AA46" s="137">
        <f t="shared" si="26"/>
        <v>0</v>
      </c>
      <c r="AB46" s="137">
        <f t="shared" si="26"/>
        <v>0</v>
      </c>
      <c r="AC46" s="137">
        <f>SUM(AC40:AC45)</f>
        <v>0</v>
      </c>
      <c r="AD46" s="137">
        <f>SUM(AD40:AD45)</f>
        <v>0</v>
      </c>
      <c r="AE46" s="137">
        <f t="shared" si="26"/>
        <v>0</v>
      </c>
      <c r="AF46" s="137">
        <f t="shared" si="26"/>
        <v>0</v>
      </c>
      <c r="AG46" s="137">
        <f t="shared" si="26"/>
        <v>0</v>
      </c>
      <c r="AH46" s="137">
        <f t="shared" si="26"/>
        <v>2386</v>
      </c>
    </row>
    <row r="47" spans="1:34" ht="12">
      <c r="A47" s="125" t="s">
        <v>1275</v>
      </c>
      <c r="B47" s="126">
        <f aca="true" t="shared" si="27" ref="B47:AH47">B10+B39+B46</f>
        <v>8733</v>
      </c>
      <c r="C47" s="126"/>
      <c r="D47" s="126">
        <f t="shared" si="27"/>
        <v>2133</v>
      </c>
      <c r="E47" s="126">
        <f t="shared" si="27"/>
        <v>10866</v>
      </c>
      <c r="F47" s="126">
        <f t="shared" si="27"/>
        <v>1369</v>
      </c>
      <c r="G47" s="126">
        <f t="shared" si="27"/>
        <v>0</v>
      </c>
      <c r="H47" s="126">
        <f t="shared" si="27"/>
        <v>1369</v>
      </c>
      <c r="I47" s="126">
        <f t="shared" si="27"/>
        <v>0</v>
      </c>
      <c r="J47" s="126">
        <f t="shared" si="27"/>
        <v>1306</v>
      </c>
      <c r="K47" s="126">
        <f t="shared" si="27"/>
        <v>0</v>
      </c>
      <c r="L47" s="126">
        <f t="shared" si="27"/>
        <v>0</v>
      </c>
      <c r="M47" s="126">
        <f t="shared" si="27"/>
        <v>0</v>
      </c>
      <c r="N47" s="126">
        <f t="shared" si="27"/>
        <v>0</v>
      </c>
      <c r="O47" s="126">
        <f t="shared" si="27"/>
        <v>1306</v>
      </c>
      <c r="P47" s="126">
        <f t="shared" si="27"/>
        <v>2846</v>
      </c>
      <c r="Q47" s="126">
        <f t="shared" si="27"/>
        <v>0</v>
      </c>
      <c r="R47" s="126">
        <f t="shared" si="27"/>
        <v>1520</v>
      </c>
      <c r="S47" s="126">
        <f t="shared" si="27"/>
        <v>0</v>
      </c>
      <c r="T47" s="126">
        <f>T10+T39+T46</f>
        <v>0</v>
      </c>
      <c r="U47" s="126">
        <f>U10+U39+U46</f>
        <v>0</v>
      </c>
      <c r="V47" s="126">
        <f>V10+V39+V46</f>
        <v>0</v>
      </c>
      <c r="W47" s="126">
        <f>W10+W39+W46</f>
        <v>0</v>
      </c>
      <c r="X47" s="126">
        <f t="shared" si="27"/>
        <v>4366</v>
      </c>
      <c r="Y47" s="126">
        <f t="shared" si="27"/>
        <v>4424</v>
      </c>
      <c r="Z47" s="126">
        <f t="shared" si="27"/>
        <v>898.8160379870219</v>
      </c>
      <c r="AA47" s="126">
        <f t="shared" si="27"/>
        <v>2753.016558071863</v>
      </c>
      <c r="AB47" s="126">
        <f t="shared" si="27"/>
        <v>772.1674039411146</v>
      </c>
      <c r="AC47" s="126">
        <f>AC10+AC39+AC46</f>
        <v>0</v>
      </c>
      <c r="AD47" s="126">
        <f>AD10+AD39+AD46</f>
        <v>4424</v>
      </c>
      <c r="AE47" s="126">
        <f t="shared" si="27"/>
        <v>0</v>
      </c>
      <c r="AF47" s="126">
        <f t="shared" si="27"/>
        <v>1888</v>
      </c>
      <c r="AG47" s="126">
        <f t="shared" si="27"/>
        <v>1888</v>
      </c>
      <c r="AH47" s="126">
        <f t="shared" si="27"/>
        <v>24219</v>
      </c>
    </row>
    <row r="48" spans="1:34" ht="12">
      <c r="A48" s="115" t="s">
        <v>132</v>
      </c>
      <c r="B48" s="117">
        <f>hiv!D96</f>
        <v>2155</v>
      </c>
      <c r="C48" s="117"/>
      <c r="D48" s="117">
        <f>körj!D55</f>
        <v>587</v>
      </c>
      <c r="E48" s="120">
        <f aca="true" t="shared" si="28" ref="E48:E53">SUM(B48:D48)</f>
        <v>2742</v>
      </c>
      <c r="F48" s="117">
        <f>isk!D49</f>
        <v>355</v>
      </c>
      <c r="G48" s="117"/>
      <c r="H48" s="120">
        <f aca="true" t="shared" si="29" ref="H48:H53">SUM(F48:G48)</f>
        <v>355</v>
      </c>
      <c r="I48" s="117"/>
      <c r="J48" s="117">
        <f>teü!D57</f>
        <v>337</v>
      </c>
      <c r="K48" s="117"/>
      <c r="L48" s="117"/>
      <c r="M48" s="117"/>
      <c r="N48" s="117"/>
      <c r="O48" s="120">
        <f aca="true" t="shared" si="30" ref="O48:O53">SUM(I48:N48)</f>
        <v>337</v>
      </c>
      <c r="P48" s="117">
        <f>fsp!D64</f>
        <v>825</v>
      </c>
      <c r="Q48" s="117"/>
      <c r="R48" s="117">
        <f>fsp!D140</f>
        <v>364</v>
      </c>
      <c r="S48" s="117"/>
      <c r="T48" s="117"/>
      <c r="U48" s="117"/>
      <c r="V48" s="117"/>
      <c r="W48" s="117"/>
      <c r="X48" s="120">
        <f aca="true" t="shared" si="31" ref="X48:X53">SUM(P48:W48)</f>
        <v>1189</v>
      </c>
      <c r="Y48" s="117">
        <f>iét!D103</f>
        <v>1074</v>
      </c>
      <c r="Z48" s="117">
        <f>Y48*iét!$D$226</f>
        <v>218.20262766683126</v>
      </c>
      <c r="AA48" s="117">
        <f>Y48*iét!$D$227</f>
        <v>668.3408190255835</v>
      </c>
      <c r="AB48" s="117">
        <f>Y48*iét!$D$228</f>
        <v>187.45655330758524</v>
      </c>
      <c r="AC48" s="117">
        <f>Y48*iét!$D$229</f>
        <v>0</v>
      </c>
      <c r="AD48" s="120">
        <f t="shared" si="5"/>
        <v>1074</v>
      </c>
      <c r="AE48" s="117"/>
      <c r="AF48" s="117">
        <f>elsz!D63</f>
        <v>507</v>
      </c>
      <c r="AG48" s="120">
        <f aca="true" t="shared" si="32" ref="AG48:AG53">SUM(AE48:AF48)</f>
        <v>507</v>
      </c>
      <c r="AH48" s="131">
        <f aca="true" t="shared" si="33" ref="AH48:AH53">E48+H48+O48+X48+AD48+AG48</f>
        <v>6204</v>
      </c>
    </row>
    <row r="49" spans="1:34" ht="12">
      <c r="A49" s="115" t="s">
        <v>177</v>
      </c>
      <c r="B49" s="117">
        <f>hiv!D99</f>
        <v>155</v>
      </c>
      <c r="C49" s="117"/>
      <c r="D49" s="117">
        <f>körj!D58</f>
        <v>61</v>
      </c>
      <c r="E49" s="120">
        <f t="shared" si="28"/>
        <v>216</v>
      </c>
      <c r="F49" s="117">
        <f>isk!D52</f>
        <v>37</v>
      </c>
      <c r="G49" s="117"/>
      <c r="H49" s="120">
        <f t="shared" si="29"/>
        <v>37</v>
      </c>
      <c r="I49" s="117"/>
      <c r="J49" s="117">
        <f>teü!D59</f>
        <v>33</v>
      </c>
      <c r="K49" s="117"/>
      <c r="L49" s="117"/>
      <c r="M49" s="117"/>
      <c r="N49" s="117"/>
      <c r="O49" s="120">
        <f t="shared" si="30"/>
        <v>33</v>
      </c>
      <c r="P49" s="117">
        <f>fsp!D67</f>
        <v>86</v>
      </c>
      <c r="Q49" s="117"/>
      <c r="R49" s="117">
        <f>fsp!D143</f>
        <v>38</v>
      </c>
      <c r="S49" s="117"/>
      <c r="T49" s="117"/>
      <c r="U49" s="117"/>
      <c r="V49" s="117"/>
      <c r="W49" s="117"/>
      <c r="X49" s="120">
        <f t="shared" si="31"/>
        <v>124</v>
      </c>
      <c r="Y49" s="117">
        <f>iét!D106</f>
        <v>111</v>
      </c>
      <c r="Z49" s="117">
        <f>Y49*iét!$D$226</f>
        <v>22.551668222549598</v>
      </c>
      <c r="AA49" s="117">
        <f>Y49*iét!$D$227</f>
        <v>69.07433045795136</v>
      </c>
      <c r="AB49" s="117">
        <f>Y49*iét!$D$228</f>
        <v>19.374001319499033</v>
      </c>
      <c r="AC49" s="117">
        <f>Y49*iét!$D$229</f>
        <v>0</v>
      </c>
      <c r="AD49" s="120">
        <f t="shared" si="5"/>
        <v>110.99999999999999</v>
      </c>
      <c r="AE49" s="117"/>
      <c r="AF49" s="117">
        <f>elsz!D66</f>
        <v>52</v>
      </c>
      <c r="AG49" s="120">
        <f t="shared" si="32"/>
        <v>52</v>
      </c>
      <c r="AH49" s="131">
        <f t="shared" si="33"/>
        <v>573</v>
      </c>
    </row>
    <row r="50" spans="1:34" ht="12">
      <c r="A50" s="115" t="s">
        <v>841</v>
      </c>
      <c r="B50" s="117">
        <f>hiv!D106</f>
        <v>301</v>
      </c>
      <c r="C50" s="117"/>
      <c r="D50" s="117">
        <f>körj!D63</f>
        <v>23</v>
      </c>
      <c r="E50" s="120">
        <f t="shared" si="28"/>
        <v>324</v>
      </c>
      <c r="F50" s="117">
        <f>isk!D57</f>
        <v>23</v>
      </c>
      <c r="G50" s="117"/>
      <c r="H50" s="120">
        <f t="shared" si="29"/>
        <v>23</v>
      </c>
      <c r="I50" s="117"/>
      <c r="J50" s="117">
        <f>teü!D66</f>
        <v>31</v>
      </c>
      <c r="K50" s="117"/>
      <c r="L50" s="117"/>
      <c r="M50" s="117"/>
      <c r="N50" s="117"/>
      <c r="O50" s="120">
        <f t="shared" si="30"/>
        <v>31</v>
      </c>
      <c r="P50" s="117">
        <f>fsp!D74</f>
        <v>80</v>
      </c>
      <c r="Q50" s="117"/>
      <c r="R50" s="117">
        <f>fsp!D150</f>
        <v>22</v>
      </c>
      <c r="S50" s="117"/>
      <c r="T50" s="117"/>
      <c r="U50" s="117"/>
      <c r="V50" s="117"/>
      <c r="W50" s="117"/>
      <c r="X50" s="120">
        <f t="shared" si="31"/>
        <v>102</v>
      </c>
      <c r="Y50" s="117">
        <f>iét!D111</f>
        <v>117</v>
      </c>
      <c r="Z50" s="117">
        <f>Y50*iét!$D$226</f>
        <v>23.77067731566039</v>
      </c>
      <c r="AA50" s="117">
        <f>Y50*iét!$D$227</f>
        <v>72.80807805027305</v>
      </c>
      <c r="AB50" s="117">
        <f>Y50*iét!$D$228</f>
        <v>20.421244634066547</v>
      </c>
      <c r="AC50" s="117">
        <f>Y50*iét!$D$229</f>
        <v>0</v>
      </c>
      <c r="AD50" s="120">
        <f t="shared" si="5"/>
        <v>117</v>
      </c>
      <c r="AE50" s="117"/>
      <c r="AF50" s="117">
        <f>elsz!D73</f>
        <v>23</v>
      </c>
      <c r="AG50" s="120">
        <f t="shared" si="32"/>
        <v>23</v>
      </c>
      <c r="AH50" s="131">
        <f t="shared" si="33"/>
        <v>620</v>
      </c>
    </row>
    <row r="51" spans="1:34" ht="12">
      <c r="A51" s="115" t="s">
        <v>133</v>
      </c>
      <c r="B51" s="117"/>
      <c r="C51" s="117"/>
      <c r="D51" s="117"/>
      <c r="E51" s="120">
        <f t="shared" si="28"/>
        <v>0</v>
      </c>
      <c r="F51" s="117"/>
      <c r="G51" s="117"/>
      <c r="H51" s="120">
        <f t="shared" si="29"/>
        <v>0</v>
      </c>
      <c r="I51" s="117"/>
      <c r="J51" s="117"/>
      <c r="K51" s="117"/>
      <c r="L51" s="117"/>
      <c r="M51" s="117"/>
      <c r="N51" s="117"/>
      <c r="O51" s="120">
        <f t="shared" si="30"/>
        <v>0</v>
      </c>
      <c r="P51" s="117"/>
      <c r="Q51" s="117"/>
      <c r="R51" s="117"/>
      <c r="S51" s="117"/>
      <c r="T51" s="117"/>
      <c r="U51" s="117"/>
      <c r="V51" s="117"/>
      <c r="W51" s="117"/>
      <c r="X51" s="120">
        <f t="shared" si="31"/>
        <v>0</v>
      </c>
      <c r="Y51" s="117"/>
      <c r="Z51" s="117">
        <f>Y51*iét!$D$226</f>
        <v>0</v>
      </c>
      <c r="AA51" s="117">
        <f>Y51*iét!$D$227</f>
        <v>0</v>
      </c>
      <c r="AB51" s="117">
        <f>Y51*iét!$D$228</f>
        <v>0</v>
      </c>
      <c r="AC51" s="117">
        <f>Y51*iét!$D$229</f>
        <v>0</v>
      </c>
      <c r="AD51" s="120">
        <f t="shared" si="5"/>
        <v>0</v>
      </c>
      <c r="AE51" s="117"/>
      <c r="AF51" s="117"/>
      <c r="AG51" s="120">
        <f t="shared" si="32"/>
        <v>0</v>
      </c>
      <c r="AH51" s="131">
        <f t="shared" si="33"/>
        <v>0</v>
      </c>
    </row>
    <row r="52" spans="1:34" ht="12">
      <c r="A52" s="115" t="s">
        <v>134</v>
      </c>
      <c r="B52" s="117"/>
      <c r="C52" s="117"/>
      <c r="D52" s="117"/>
      <c r="E52" s="120">
        <f t="shared" si="28"/>
        <v>0</v>
      </c>
      <c r="F52" s="117"/>
      <c r="G52" s="117"/>
      <c r="H52" s="120">
        <f t="shared" si="29"/>
        <v>0</v>
      </c>
      <c r="I52" s="117"/>
      <c r="J52" s="117"/>
      <c r="K52" s="117"/>
      <c r="L52" s="117"/>
      <c r="M52" s="117"/>
      <c r="N52" s="117"/>
      <c r="O52" s="120">
        <f t="shared" si="30"/>
        <v>0</v>
      </c>
      <c r="P52" s="117"/>
      <c r="Q52" s="117"/>
      <c r="R52" s="117"/>
      <c r="S52" s="117"/>
      <c r="T52" s="117"/>
      <c r="U52" s="117"/>
      <c r="V52" s="117"/>
      <c r="W52" s="117"/>
      <c r="X52" s="120">
        <f t="shared" si="31"/>
        <v>0</v>
      </c>
      <c r="Y52" s="117"/>
      <c r="Z52" s="117">
        <f>Y52*iét!$D$226</f>
        <v>0</v>
      </c>
      <c r="AA52" s="117">
        <f>Y52*iét!$D$227</f>
        <v>0</v>
      </c>
      <c r="AB52" s="117">
        <f>Y52*iét!$D$228</f>
        <v>0</v>
      </c>
      <c r="AC52" s="117">
        <f>Y52*iét!$D$229</f>
        <v>0</v>
      </c>
      <c r="AD52" s="120">
        <f t="shared" si="5"/>
        <v>0</v>
      </c>
      <c r="AE52" s="117"/>
      <c r="AF52" s="117"/>
      <c r="AG52" s="120">
        <f t="shared" si="32"/>
        <v>0</v>
      </c>
      <c r="AH52" s="131">
        <f t="shared" si="33"/>
        <v>0</v>
      </c>
    </row>
    <row r="53" spans="1:34" ht="12">
      <c r="A53" s="115" t="s">
        <v>135</v>
      </c>
      <c r="B53" s="117"/>
      <c r="C53" s="117"/>
      <c r="D53" s="117"/>
      <c r="E53" s="120">
        <f t="shared" si="28"/>
        <v>0</v>
      </c>
      <c r="F53" s="117"/>
      <c r="G53" s="117"/>
      <c r="H53" s="120">
        <f t="shared" si="29"/>
        <v>0</v>
      </c>
      <c r="I53" s="117"/>
      <c r="J53" s="117"/>
      <c r="K53" s="117"/>
      <c r="L53" s="117"/>
      <c r="M53" s="117"/>
      <c r="N53" s="117"/>
      <c r="O53" s="120">
        <f t="shared" si="30"/>
        <v>0</v>
      </c>
      <c r="P53" s="117"/>
      <c r="Q53" s="117"/>
      <c r="R53" s="117"/>
      <c r="S53" s="117"/>
      <c r="T53" s="117"/>
      <c r="U53" s="117"/>
      <c r="V53" s="117"/>
      <c r="W53" s="117"/>
      <c r="X53" s="120">
        <f t="shared" si="31"/>
        <v>0</v>
      </c>
      <c r="Y53" s="117"/>
      <c r="Z53" s="117">
        <f>Y53*iét!$D$226</f>
        <v>0</v>
      </c>
      <c r="AA53" s="117">
        <f>Y53*iét!$D$227</f>
        <v>0</v>
      </c>
      <c r="AB53" s="117">
        <f>Y53*iét!$D$228</f>
        <v>0</v>
      </c>
      <c r="AC53" s="117">
        <f>Y53*iét!$D$229</f>
        <v>0</v>
      </c>
      <c r="AD53" s="120">
        <f t="shared" si="5"/>
        <v>0</v>
      </c>
      <c r="AE53" s="117"/>
      <c r="AF53" s="117"/>
      <c r="AG53" s="120">
        <f t="shared" si="32"/>
        <v>0</v>
      </c>
      <c r="AH53" s="131">
        <f t="shared" si="33"/>
        <v>0</v>
      </c>
    </row>
    <row r="54" spans="1:34" ht="12">
      <c r="A54" s="125" t="s">
        <v>136</v>
      </c>
      <c r="B54" s="126">
        <f aca="true" t="shared" si="34" ref="B54:AH54">SUM(B48:B53)</f>
        <v>2611</v>
      </c>
      <c r="C54" s="126"/>
      <c r="D54" s="126">
        <f t="shared" si="34"/>
        <v>671</v>
      </c>
      <c r="E54" s="126">
        <f t="shared" si="34"/>
        <v>3282</v>
      </c>
      <c r="F54" s="126">
        <f t="shared" si="34"/>
        <v>415</v>
      </c>
      <c r="G54" s="126">
        <f t="shared" si="34"/>
        <v>0</v>
      </c>
      <c r="H54" s="126">
        <f t="shared" si="34"/>
        <v>415</v>
      </c>
      <c r="I54" s="126">
        <f t="shared" si="34"/>
        <v>0</v>
      </c>
      <c r="J54" s="126">
        <f t="shared" si="34"/>
        <v>401</v>
      </c>
      <c r="K54" s="126">
        <f t="shared" si="34"/>
        <v>0</v>
      </c>
      <c r="L54" s="126">
        <f t="shared" si="34"/>
        <v>0</v>
      </c>
      <c r="M54" s="126">
        <f t="shared" si="34"/>
        <v>0</v>
      </c>
      <c r="N54" s="126">
        <f t="shared" si="34"/>
        <v>0</v>
      </c>
      <c r="O54" s="126">
        <f t="shared" si="34"/>
        <v>401</v>
      </c>
      <c r="P54" s="126">
        <f t="shared" si="34"/>
        <v>991</v>
      </c>
      <c r="Q54" s="126">
        <f t="shared" si="34"/>
        <v>0</v>
      </c>
      <c r="R54" s="126">
        <f t="shared" si="34"/>
        <v>424</v>
      </c>
      <c r="S54" s="126">
        <f t="shared" si="34"/>
        <v>0</v>
      </c>
      <c r="T54" s="126">
        <f>SUM(T48:T53)</f>
        <v>0</v>
      </c>
      <c r="U54" s="126">
        <f>SUM(U48:U53)</f>
        <v>0</v>
      </c>
      <c r="V54" s="126">
        <f>SUM(V48:V53)</f>
        <v>0</v>
      </c>
      <c r="W54" s="126">
        <f>SUM(W48:W53)</f>
        <v>0</v>
      </c>
      <c r="X54" s="126">
        <f t="shared" si="34"/>
        <v>1415</v>
      </c>
      <c r="Y54" s="126">
        <f t="shared" si="34"/>
        <v>1302</v>
      </c>
      <c r="Z54" s="126">
        <f t="shared" si="34"/>
        <v>264.52497320504125</v>
      </c>
      <c r="AA54" s="126">
        <f t="shared" si="34"/>
        <v>810.2232275338079</v>
      </c>
      <c r="AB54" s="126">
        <f t="shared" si="34"/>
        <v>227.2517992611508</v>
      </c>
      <c r="AC54" s="126">
        <f>SUM(AC48:AC53)</f>
        <v>0</v>
      </c>
      <c r="AD54" s="126">
        <f>SUM(AD48:AD53)</f>
        <v>1302</v>
      </c>
      <c r="AE54" s="126">
        <f t="shared" si="34"/>
        <v>0</v>
      </c>
      <c r="AF54" s="126">
        <f t="shared" si="34"/>
        <v>582</v>
      </c>
      <c r="AG54" s="126">
        <f t="shared" si="34"/>
        <v>582</v>
      </c>
      <c r="AH54" s="126">
        <f t="shared" si="34"/>
        <v>7397</v>
      </c>
    </row>
    <row r="55" spans="1:34" ht="12">
      <c r="A55" s="115" t="s">
        <v>137</v>
      </c>
      <c r="B55" s="117">
        <v>0</v>
      </c>
      <c r="C55" s="117"/>
      <c r="D55" s="117"/>
      <c r="E55" s="120">
        <f aca="true" t="shared" si="35" ref="E55:E66">SUM(B55:D55)</f>
        <v>0</v>
      </c>
      <c r="F55" s="117"/>
      <c r="G55" s="117"/>
      <c r="H55" s="120">
        <f aca="true" t="shared" si="36" ref="H55:H66">SUM(F55:G55)</f>
        <v>0</v>
      </c>
      <c r="I55" s="117"/>
      <c r="J55" s="117"/>
      <c r="K55" s="117"/>
      <c r="L55" s="117"/>
      <c r="M55" s="117"/>
      <c r="N55" s="117"/>
      <c r="O55" s="120">
        <f>SUM(I55:N55)</f>
        <v>0</v>
      </c>
      <c r="P55" s="117"/>
      <c r="Q55" s="117"/>
      <c r="R55" s="117"/>
      <c r="S55" s="117"/>
      <c r="T55" s="117"/>
      <c r="U55" s="117"/>
      <c r="V55" s="117"/>
      <c r="W55" s="117"/>
      <c r="X55" s="120">
        <f>SUM(P55:W55)</f>
        <v>0</v>
      </c>
      <c r="Y55" s="117">
        <f>iét!$D$181</f>
        <v>2939</v>
      </c>
      <c r="Z55" s="117">
        <f>Y55*iét!$D$226</f>
        <v>597.1112874421016</v>
      </c>
      <c r="AA55" s="117">
        <f>Y55*iét!$D$227</f>
        <v>1828.9140289722438</v>
      </c>
      <c r="AB55" s="117">
        <f>Y55*iét!$D$228</f>
        <v>512.9746835856546</v>
      </c>
      <c r="AC55" s="117">
        <f>Y55*iét!$D$229</f>
        <v>0</v>
      </c>
      <c r="AD55" s="120">
        <f>SUM(Z55:AC55)</f>
        <v>2939</v>
      </c>
      <c r="AE55" s="117"/>
      <c r="AF55" s="117"/>
      <c r="AG55" s="120">
        <f aca="true" t="shared" si="37" ref="AG55:AG66">SUM(AE55:AF55)</f>
        <v>0</v>
      </c>
      <c r="AH55" s="131">
        <f>E55+H55+O55+X55+AD55+AG55</f>
        <v>2939</v>
      </c>
    </row>
    <row r="56" spans="1:34" ht="12">
      <c r="A56" s="115" t="s">
        <v>138</v>
      </c>
      <c r="B56" s="117"/>
      <c r="C56" s="117"/>
      <c r="D56" s="117"/>
      <c r="E56" s="120">
        <f t="shared" si="35"/>
        <v>0</v>
      </c>
      <c r="F56" s="117"/>
      <c r="G56" s="117"/>
      <c r="H56" s="120">
        <f t="shared" si="36"/>
        <v>0</v>
      </c>
      <c r="I56" s="117"/>
      <c r="J56" s="117"/>
      <c r="K56" s="117"/>
      <c r="L56" s="117"/>
      <c r="M56" s="117"/>
      <c r="N56" s="117"/>
      <c r="O56" s="120">
        <f aca="true" t="shared" si="38" ref="O56:O92">SUM(I56:N56)</f>
        <v>0</v>
      </c>
      <c r="P56" s="117"/>
      <c r="Q56" s="117"/>
      <c r="R56" s="117">
        <f>fsp!$D$158</f>
        <v>10</v>
      </c>
      <c r="S56" s="117"/>
      <c r="T56" s="117"/>
      <c r="U56" s="117"/>
      <c r="V56" s="117"/>
      <c r="W56" s="117"/>
      <c r="X56" s="120">
        <f aca="true" t="shared" si="39" ref="X56:X101">SUM(P56:W56)</f>
        <v>10</v>
      </c>
      <c r="Y56" s="117"/>
      <c r="Z56" s="117">
        <f>Y56*iét!$D$226</f>
        <v>0</v>
      </c>
      <c r="AA56" s="117">
        <f>Y56*iét!$D$227</f>
        <v>0</v>
      </c>
      <c r="AB56" s="117">
        <f>Y56*iét!$D$228</f>
        <v>0</v>
      </c>
      <c r="AC56" s="117">
        <f>Y56*iét!$D$229</f>
        <v>0</v>
      </c>
      <c r="AD56" s="120">
        <f t="shared" si="5"/>
        <v>0</v>
      </c>
      <c r="AE56" s="117"/>
      <c r="AF56" s="117"/>
      <c r="AG56" s="120">
        <f t="shared" si="37"/>
        <v>0</v>
      </c>
      <c r="AH56" s="131">
        <f aca="true" t="shared" si="40" ref="AH56:AH104">E56+H56+O56+X56+AD56+AG56</f>
        <v>10</v>
      </c>
    </row>
    <row r="57" spans="1:34" ht="12">
      <c r="A57" s="115" t="s">
        <v>139</v>
      </c>
      <c r="B57" s="117">
        <f>hiv!D113</f>
        <v>375</v>
      </c>
      <c r="C57" s="117"/>
      <c r="D57" s="117"/>
      <c r="E57" s="120">
        <f t="shared" si="35"/>
        <v>375</v>
      </c>
      <c r="F57" s="117"/>
      <c r="G57" s="117"/>
      <c r="H57" s="120">
        <f t="shared" si="36"/>
        <v>0</v>
      </c>
      <c r="I57" s="117"/>
      <c r="J57" s="117"/>
      <c r="K57" s="117"/>
      <c r="L57" s="117"/>
      <c r="M57" s="117"/>
      <c r="N57" s="117"/>
      <c r="O57" s="120">
        <f t="shared" si="38"/>
        <v>0</v>
      </c>
      <c r="P57" s="117"/>
      <c r="Q57" s="117"/>
      <c r="R57" s="117">
        <f>fsp!$D$160</f>
        <v>5</v>
      </c>
      <c r="S57" s="117"/>
      <c r="T57" s="117"/>
      <c r="U57" s="117"/>
      <c r="V57" s="117"/>
      <c r="W57" s="117"/>
      <c r="X57" s="120">
        <f t="shared" si="39"/>
        <v>5</v>
      </c>
      <c r="Y57" s="117">
        <f>iét!$D$182</f>
        <v>50</v>
      </c>
      <c r="Z57" s="117">
        <f>Y57*iét!$D$226</f>
        <v>10.158409109256576</v>
      </c>
      <c r="AA57" s="117">
        <f>Y57*iét!$D$227</f>
        <v>31.11456326934746</v>
      </c>
      <c r="AB57" s="117">
        <f>Y57*iét!$D$228</f>
        <v>8.72702762139596</v>
      </c>
      <c r="AC57" s="117">
        <f>Y57*iét!$D$229</f>
        <v>0</v>
      </c>
      <c r="AD57" s="120">
        <f t="shared" si="5"/>
        <v>50</v>
      </c>
      <c r="AE57" s="117"/>
      <c r="AF57" s="117">
        <f>elsz!$D$81</f>
        <v>5</v>
      </c>
      <c r="AG57" s="120">
        <f t="shared" si="37"/>
        <v>5</v>
      </c>
      <c r="AH57" s="131">
        <f t="shared" si="40"/>
        <v>435</v>
      </c>
    </row>
    <row r="58" spans="1:34" ht="12">
      <c r="A58" s="115" t="s">
        <v>10</v>
      </c>
      <c r="B58" s="117">
        <f>hiv!D114</f>
        <v>20</v>
      </c>
      <c r="C58" s="117"/>
      <c r="D58" s="117"/>
      <c r="E58" s="120">
        <f t="shared" si="35"/>
        <v>20</v>
      </c>
      <c r="F58" s="117"/>
      <c r="G58" s="117"/>
      <c r="H58" s="120">
        <f t="shared" si="36"/>
        <v>0</v>
      </c>
      <c r="I58" s="117"/>
      <c r="J58" s="117"/>
      <c r="K58" s="117"/>
      <c r="L58" s="117"/>
      <c r="M58" s="117"/>
      <c r="N58" s="117"/>
      <c r="O58" s="120">
        <f t="shared" si="38"/>
        <v>0</v>
      </c>
      <c r="P58" s="117"/>
      <c r="Q58" s="117"/>
      <c r="R58" s="117"/>
      <c r="S58" s="117"/>
      <c r="T58" s="117"/>
      <c r="U58" s="117"/>
      <c r="V58" s="117"/>
      <c r="W58" s="117"/>
      <c r="X58" s="120">
        <f t="shared" si="39"/>
        <v>0</v>
      </c>
      <c r="Y58" s="117">
        <f>iét!$D$183</f>
        <v>0</v>
      </c>
      <c r="Z58" s="117">
        <f>Y58*iét!$D$226</f>
        <v>0</v>
      </c>
      <c r="AA58" s="117">
        <f>Y58*iét!$D$227</f>
        <v>0</v>
      </c>
      <c r="AB58" s="117">
        <f>Y58*iét!$D$228</f>
        <v>0</v>
      </c>
      <c r="AC58" s="117">
        <f>Y58*iét!$D$229</f>
        <v>0</v>
      </c>
      <c r="AD58" s="120">
        <f t="shared" si="5"/>
        <v>0</v>
      </c>
      <c r="AE58" s="117"/>
      <c r="AF58" s="117">
        <f>elsz!$D$82</f>
        <v>10</v>
      </c>
      <c r="AG58" s="120">
        <f t="shared" si="37"/>
        <v>10</v>
      </c>
      <c r="AH58" s="131">
        <f t="shared" si="40"/>
        <v>30</v>
      </c>
    </row>
    <row r="59" spans="1:34" ht="12">
      <c r="A59" s="115" t="s">
        <v>11</v>
      </c>
      <c r="B59" s="117">
        <f>hiv!D115</f>
        <v>150</v>
      </c>
      <c r="C59" s="117"/>
      <c r="D59" s="117"/>
      <c r="E59" s="120">
        <f t="shared" si="35"/>
        <v>150</v>
      </c>
      <c r="F59" s="117"/>
      <c r="G59" s="117"/>
      <c r="H59" s="120">
        <f t="shared" si="36"/>
        <v>0</v>
      </c>
      <c r="I59" s="117"/>
      <c r="J59" s="117"/>
      <c r="K59" s="117"/>
      <c r="L59" s="117"/>
      <c r="M59" s="117"/>
      <c r="N59" s="117"/>
      <c r="O59" s="120">
        <f t="shared" si="38"/>
        <v>0</v>
      </c>
      <c r="P59" s="117"/>
      <c r="Q59" s="117"/>
      <c r="R59" s="117"/>
      <c r="S59" s="117"/>
      <c r="T59" s="117"/>
      <c r="U59" s="117"/>
      <c r="V59" s="117"/>
      <c r="W59" s="117"/>
      <c r="X59" s="120">
        <f t="shared" si="39"/>
        <v>0</v>
      </c>
      <c r="Y59" s="117"/>
      <c r="Z59" s="117">
        <f>Y59*iét!$D$226</f>
        <v>0</v>
      </c>
      <c r="AA59" s="117">
        <f>Y59*iét!$D$227</f>
        <v>0</v>
      </c>
      <c r="AB59" s="117">
        <f>Y59*iét!$D$228</f>
        <v>0</v>
      </c>
      <c r="AC59" s="117">
        <f>Y59*iét!$D$229</f>
        <v>0</v>
      </c>
      <c r="AD59" s="120">
        <f t="shared" si="5"/>
        <v>0</v>
      </c>
      <c r="AE59" s="117"/>
      <c r="AF59" s="117">
        <f>elsz!$D$83</f>
        <v>5</v>
      </c>
      <c r="AG59" s="120">
        <f t="shared" si="37"/>
        <v>5</v>
      </c>
      <c r="AH59" s="131">
        <f t="shared" si="40"/>
        <v>155</v>
      </c>
    </row>
    <row r="60" spans="1:34" ht="12">
      <c r="A60" s="115" t="s">
        <v>12</v>
      </c>
      <c r="B60" s="117">
        <f>hiv!D116</f>
        <v>30</v>
      </c>
      <c r="C60" s="117"/>
      <c r="D60" s="117"/>
      <c r="E60" s="120">
        <f t="shared" si="35"/>
        <v>30</v>
      </c>
      <c r="F60" s="117"/>
      <c r="G60" s="117"/>
      <c r="H60" s="120">
        <f t="shared" si="36"/>
        <v>0</v>
      </c>
      <c r="I60" s="117"/>
      <c r="J60" s="117"/>
      <c r="K60" s="117"/>
      <c r="L60" s="117"/>
      <c r="M60" s="117"/>
      <c r="N60" s="117"/>
      <c r="O60" s="120">
        <f t="shared" si="38"/>
        <v>0</v>
      </c>
      <c r="P60" s="117"/>
      <c r="Q60" s="117"/>
      <c r="R60" s="117"/>
      <c r="S60" s="117"/>
      <c r="T60" s="117"/>
      <c r="U60" s="117"/>
      <c r="V60" s="117"/>
      <c r="W60" s="117"/>
      <c r="X60" s="120">
        <f t="shared" si="39"/>
        <v>0</v>
      </c>
      <c r="Y60" s="117"/>
      <c r="Z60" s="117">
        <f>Y60*iét!$D$226</f>
        <v>0</v>
      </c>
      <c r="AA60" s="117">
        <f>Y60*iét!$D$227</f>
        <v>0</v>
      </c>
      <c r="AB60" s="117">
        <f>Y60*iét!$D$228</f>
        <v>0</v>
      </c>
      <c r="AC60" s="117">
        <f>Y60*iét!$D$229</f>
        <v>0</v>
      </c>
      <c r="AD60" s="120">
        <f t="shared" si="5"/>
        <v>0</v>
      </c>
      <c r="AE60" s="117"/>
      <c r="AF60" s="117">
        <f>elsz!$D$84</f>
        <v>5</v>
      </c>
      <c r="AG60" s="120">
        <f t="shared" si="37"/>
        <v>5</v>
      </c>
      <c r="AH60" s="131">
        <f t="shared" si="40"/>
        <v>35</v>
      </c>
    </row>
    <row r="61" spans="1:34" ht="12">
      <c r="A61" s="115" t="s">
        <v>140</v>
      </c>
      <c r="B61" s="117">
        <f>hiv!D117</f>
        <v>0</v>
      </c>
      <c r="C61" s="117"/>
      <c r="D61" s="117"/>
      <c r="E61" s="120">
        <f t="shared" si="35"/>
        <v>0</v>
      </c>
      <c r="F61" s="117"/>
      <c r="G61" s="117"/>
      <c r="H61" s="120">
        <f t="shared" si="36"/>
        <v>0</v>
      </c>
      <c r="I61" s="117"/>
      <c r="J61" s="117"/>
      <c r="K61" s="117"/>
      <c r="L61" s="117"/>
      <c r="M61" s="117"/>
      <c r="N61" s="117"/>
      <c r="O61" s="120">
        <f t="shared" si="38"/>
        <v>0</v>
      </c>
      <c r="P61" s="117"/>
      <c r="Q61" s="117"/>
      <c r="R61" s="117"/>
      <c r="S61" s="117"/>
      <c r="T61" s="117"/>
      <c r="U61" s="117"/>
      <c r="V61" s="117"/>
      <c r="W61" s="117"/>
      <c r="X61" s="120">
        <f t="shared" si="39"/>
        <v>0</v>
      </c>
      <c r="Y61" s="117">
        <f>iét!$D$184</f>
        <v>0</v>
      </c>
      <c r="Z61" s="117">
        <f>Y61*iét!$D$226</f>
        <v>0</v>
      </c>
      <c r="AA61" s="117">
        <f>Y61*iét!$D$227</f>
        <v>0</v>
      </c>
      <c r="AB61" s="117">
        <f>Y61*iét!$D$228</f>
        <v>0</v>
      </c>
      <c r="AC61" s="117">
        <f>Y61*iét!$D$229</f>
        <v>0</v>
      </c>
      <c r="AD61" s="120">
        <f t="shared" si="5"/>
        <v>0</v>
      </c>
      <c r="AE61" s="117"/>
      <c r="AF61" s="117"/>
      <c r="AG61" s="120">
        <f t="shared" si="37"/>
        <v>0</v>
      </c>
      <c r="AH61" s="131">
        <f t="shared" si="40"/>
        <v>0</v>
      </c>
    </row>
    <row r="62" spans="1:34" ht="12">
      <c r="A62" s="115" t="s">
        <v>141</v>
      </c>
      <c r="B62" s="117"/>
      <c r="C62" s="117"/>
      <c r="D62" s="117"/>
      <c r="E62" s="120">
        <f t="shared" si="35"/>
        <v>0</v>
      </c>
      <c r="F62" s="117">
        <f>isk!D64</f>
        <v>5</v>
      </c>
      <c r="G62" s="117">
        <f>isk!D113</f>
        <v>5</v>
      </c>
      <c r="H62" s="120">
        <f t="shared" si="36"/>
        <v>10</v>
      </c>
      <c r="I62" s="117"/>
      <c r="J62" s="117">
        <f>teü!$D$72</f>
        <v>30</v>
      </c>
      <c r="K62" s="117">
        <f>teü!$D$121</f>
        <v>5</v>
      </c>
      <c r="L62" s="117"/>
      <c r="M62" s="117"/>
      <c r="N62" s="117"/>
      <c r="O62" s="120">
        <f t="shared" si="38"/>
        <v>35</v>
      </c>
      <c r="P62" s="117"/>
      <c r="Q62" s="117"/>
      <c r="R62" s="117"/>
      <c r="S62" s="117"/>
      <c r="T62" s="117"/>
      <c r="U62" s="117"/>
      <c r="V62" s="117"/>
      <c r="W62" s="117"/>
      <c r="X62" s="120">
        <f t="shared" si="39"/>
        <v>0</v>
      </c>
      <c r="Y62" s="117"/>
      <c r="Z62" s="117">
        <f>Y62*iét!$D$226</f>
        <v>0</v>
      </c>
      <c r="AA62" s="117">
        <f>Y62*iét!$D$227</f>
        <v>0</v>
      </c>
      <c r="AB62" s="117">
        <f>Y62*iét!$D$228</f>
        <v>0</v>
      </c>
      <c r="AC62" s="117">
        <f>Y62*iét!$D$229</f>
        <v>0</v>
      </c>
      <c r="AD62" s="120">
        <f t="shared" si="5"/>
        <v>0</v>
      </c>
      <c r="AE62" s="117"/>
      <c r="AF62" s="117"/>
      <c r="AG62" s="120">
        <f t="shared" si="37"/>
        <v>0</v>
      </c>
      <c r="AH62" s="131">
        <f t="shared" si="40"/>
        <v>45</v>
      </c>
    </row>
    <row r="63" spans="1:34" ht="12">
      <c r="A63" s="115" t="s">
        <v>13</v>
      </c>
      <c r="B63" s="117">
        <f>hiv!D118</f>
        <v>40</v>
      </c>
      <c r="C63" s="117"/>
      <c r="D63" s="117"/>
      <c r="E63" s="120">
        <f t="shared" si="35"/>
        <v>40</v>
      </c>
      <c r="F63" s="117">
        <f>isk!D65</f>
        <v>0</v>
      </c>
      <c r="G63" s="117"/>
      <c r="H63" s="120">
        <f t="shared" si="36"/>
        <v>0</v>
      </c>
      <c r="I63" s="117"/>
      <c r="J63" s="117"/>
      <c r="K63" s="117"/>
      <c r="L63" s="117"/>
      <c r="M63" s="117"/>
      <c r="N63" s="117"/>
      <c r="O63" s="120">
        <f t="shared" si="38"/>
        <v>0</v>
      </c>
      <c r="P63" s="117"/>
      <c r="Q63" s="117"/>
      <c r="R63" s="117">
        <f>fsp!$D$161</f>
        <v>5</v>
      </c>
      <c r="S63" s="117"/>
      <c r="T63" s="117"/>
      <c r="U63" s="117"/>
      <c r="V63" s="117"/>
      <c r="W63" s="117"/>
      <c r="X63" s="120">
        <f t="shared" si="39"/>
        <v>5</v>
      </c>
      <c r="Y63" s="117">
        <f>iét!$D$185</f>
        <v>30</v>
      </c>
      <c r="Z63" s="117">
        <f>Y63*iét!$D$226</f>
        <v>6.095045465553945</v>
      </c>
      <c r="AA63" s="117">
        <f>Y63*iét!$D$227</f>
        <v>18.66873796160848</v>
      </c>
      <c r="AB63" s="117">
        <f>Y63*iét!$D$228</f>
        <v>5.236216572837576</v>
      </c>
      <c r="AC63" s="117">
        <f>Y63*iét!$D$229</f>
        <v>0</v>
      </c>
      <c r="AD63" s="120">
        <f t="shared" si="5"/>
        <v>30</v>
      </c>
      <c r="AE63" s="117"/>
      <c r="AF63" s="117"/>
      <c r="AG63" s="120">
        <f t="shared" si="37"/>
        <v>0</v>
      </c>
      <c r="AH63" s="131">
        <f t="shared" si="40"/>
        <v>75</v>
      </c>
    </row>
    <row r="64" spans="1:34" ht="12">
      <c r="A64" s="115" t="s">
        <v>14</v>
      </c>
      <c r="B64" s="117">
        <f>hiv!D119</f>
        <v>80</v>
      </c>
      <c r="C64" s="117"/>
      <c r="D64" s="117"/>
      <c r="E64" s="120">
        <f t="shared" si="35"/>
        <v>80</v>
      </c>
      <c r="F64" s="117">
        <f>isk!D66</f>
        <v>5</v>
      </c>
      <c r="G64" s="117">
        <f>isk!D115</f>
        <v>5</v>
      </c>
      <c r="H64" s="120">
        <f t="shared" si="36"/>
        <v>10</v>
      </c>
      <c r="I64" s="117"/>
      <c r="J64" s="117"/>
      <c r="K64" s="117"/>
      <c r="L64" s="117"/>
      <c r="M64" s="117"/>
      <c r="N64" s="117"/>
      <c r="O64" s="120">
        <f t="shared" si="38"/>
        <v>0</v>
      </c>
      <c r="P64" s="117"/>
      <c r="Q64" s="117"/>
      <c r="R64" s="117">
        <f>fsp!$D$162</f>
        <v>10</v>
      </c>
      <c r="S64" s="117"/>
      <c r="T64" s="117"/>
      <c r="U64" s="117"/>
      <c r="V64" s="117"/>
      <c r="W64" s="117"/>
      <c r="X64" s="120">
        <f t="shared" si="39"/>
        <v>10</v>
      </c>
      <c r="Y64" s="117">
        <f>iét!$D$186</f>
        <v>50</v>
      </c>
      <c r="Z64" s="117">
        <f>Y64*iét!$D$226</f>
        <v>10.158409109256576</v>
      </c>
      <c r="AA64" s="117">
        <f>Y64*iét!$D$227</f>
        <v>31.11456326934746</v>
      </c>
      <c r="AB64" s="117">
        <f>Y64*iét!$D$228</f>
        <v>8.72702762139596</v>
      </c>
      <c r="AC64" s="117">
        <f>Y64*iét!$D$229</f>
        <v>0</v>
      </c>
      <c r="AD64" s="120">
        <f t="shared" si="5"/>
        <v>50</v>
      </c>
      <c r="AE64" s="117"/>
      <c r="AF64" s="117">
        <f>elsz!D86</f>
        <v>15</v>
      </c>
      <c r="AG64" s="120">
        <f t="shared" si="37"/>
        <v>15</v>
      </c>
      <c r="AH64" s="131">
        <f t="shared" si="40"/>
        <v>165</v>
      </c>
    </row>
    <row r="65" spans="1:34" ht="12">
      <c r="A65" s="115" t="s">
        <v>142</v>
      </c>
      <c r="B65" s="117"/>
      <c r="C65" s="117"/>
      <c r="D65" s="117"/>
      <c r="E65" s="120">
        <f t="shared" si="35"/>
        <v>0</v>
      </c>
      <c r="F65" s="117">
        <f>isk!D67</f>
        <v>0</v>
      </c>
      <c r="G65" s="117"/>
      <c r="H65" s="120">
        <f t="shared" si="36"/>
        <v>0</v>
      </c>
      <c r="I65" s="117"/>
      <c r="J65" s="117">
        <f>teü!D73</f>
        <v>10</v>
      </c>
      <c r="K65" s="117"/>
      <c r="L65" s="117"/>
      <c r="M65" s="117"/>
      <c r="N65" s="117"/>
      <c r="O65" s="120">
        <f t="shared" si="38"/>
        <v>10</v>
      </c>
      <c r="P65" s="117"/>
      <c r="Q65" s="117"/>
      <c r="R65" s="117">
        <f>fsp!$D$163</f>
        <v>0</v>
      </c>
      <c r="S65" s="117"/>
      <c r="T65" s="117"/>
      <c r="U65" s="117"/>
      <c r="V65" s="117"/>
      <c r="W65" s="117"/>
      <c r="X65" s="120">
        <f t="shared" si="39"/>
        <v>0</v>
      </c>
      <c r="Y65" s="117">
        <f>iét!$D$187</f>
        <v>0</v>
      </c>
      <c r="Z65" s="117">
        <f>Y65*iét!$D$226</f>
        <v>0</v>
      </c>
      <c r="AA65" s="117">
        <f>Y65*iét!$D$227</f>
        <v>0</v>
      </c>
      <c r="AB65" s="117">
        <f>Y65*iét!$D$228</f>
        <v>0</v>
      </c>
      <c r="AC65" s="117">
        <f>Y65*iét!$D$229</f>
        <v>0</v>
      </c>
      <c r="AD65" s="120">
        <f t="shared" si="5"/>
        <v>0</v>
      </c>
      <c r="AE65" s="117"/>
      <c r="AF65" s="117"/>
      <c r="AG65" s="120">
        <f t="shared" si="37"/>
        <v>0</v>
      </c>
      <c r="AH65" s="131">
        <f t="shared" si="40"/>
        <v>10</v>
      </c>
    </row>
    <row r="66" spans="1:34" ht="12">
      <c r="A66" s="115" t="s">
        <v>143</v>
      </c>
      <c r="B66" s="117">
        <f>hiv!D120</f>
        <v>80</v>
      </c>
      <c r="C66" s="117"/>
      <c r="D66" s="117"/>
      <c r="E66" s="120">
        <f t="shared" si="35"/>
        <v>80</v>
      </c>
      <c r="F66" s="117">
        <f>isk!D68</f>
        <v>50</v>
      </c>
      <c r="G66" s="117">
        <f>isk!D117</f>
        <v>50</v>
      </c>
      <c r="H66" s="120">
        <f t="shared" si="36"/>
        <v>100</v>
      </c>
      <c r="I66" s="117"/>
      <c r="J66" s="117">
        <f>teü!$D$74</f>
        <v>50</v>
      </c>
      <c r="K66" s="117">
        <f>teü!$D$122</f>
        <v>15</v>
      </c>
      <c r="L66" s="117"/>
      <c r="M66" s="117"/>
      <c r="N66" s="117"/>
      <c r="O66" s="120">
        <f t="shared" si="38"/>
        <v>65</v>
      </c>
      <c r="P66" s="117"/>
      <c r="Q66" s="117"/>
      <c r="R66" s="117">
        <f>fsp!$D$164</f>
        <v>10</v>
      </c>
      <c r="S66" s="117"/>
      <c r="T66" s="117"/>
      <c r="U66" s="117"/>
      <c r="V66" s="117"/>
      <c r="W66" s="117"/>
      <c r="X66" s="120">
        <f t="shared" si="39"/>
        <v>10</v>
      </c>
      <c r="Y66" s="117">
        <f>iét!$D$188</f>
        <v>450</v>
      </c>
      <c r="Z66" s="117">
        <f>Y66*iét!$D$226</f>
        <v>91.42568198330919</v>
      </c>
      <c r="AA66" s="117">
        <f>Y66*iét!$D$227</f>
        <v>280.03106942412717</v>
      </c>
      <c r="AB66" s="117">
        <f>Y66*iét!$D$228</f>
        <v>78.54324859256364</v>
      </c>
      <c r="AC66" s="117">
        <f>Y66*iét!$D$229</f>
        <v>0</v>
      </c>
      <c r="AD66" s="120">
        <f t="shared" si="5"/>
        <v>450</v>
      </c>
      <c r="AE66" s="117"/>
      <c r="AF66" s="117">
        <f>elsz!$D$87</f>
        <v>40</v>
      </c>
      <c r="AG66" s="120">
        <f t="shared" si="37"/>
        <v>40</v>
      </c>
      <c r="AH66" s="131">
        <f t="shared" si="40"/>
        <v>745</v>
      </c>
    </row>
    <row r="67" spans="1:34" ht="12">
      <c r="A67" s="121" t="s">
        <v>145</v>
      </c>
      <c r="B67" s="122">
        <f aca="true" t="shared" si="41" ref="B67:AH67">SUM(B55:B66)</f>
        <v>775</v>
      </c>
      <c r="C67" s="122"/>
      <c r="D67" s="122">
        <f t="shared" si="41"/>
        <v>0</v>
      </c>
      <c r="E67" s="122">
        <f t="shared" si="41"/>
        <v>775</v>
      </c>
      <c r="F67" s="122">
        <f>SUM(F55:F66)</f>
        <v>60</v>
      </c>
      <c r="G67" s="122">
        <f t="shared" si="41"/>
        <v>60</v>
      </c>
      <c r="H67" s="122">
        <f t="shared" si="41"/>
        <v>120</v>
      </c>
      <c r="I67" s="122">
        <f t="shared" si="41"/>
        <v>0</v>
      </c>
      <c r="J67" s="122">
        <f t="shared" si="41"/>
        <v>90</v>
      </c>
      <c r="K67" s="122">
        <f t="shared" si="41"/>
        <v>20</v>
      </c>
      <c r="L67" s="122">
        <f t="shared" si="41"/>
        <v>0</v>
      </c>
      <c r="M67" s="122">
        <f t="shared" si="41"/>
        <v>0</v>
      </c>
      <c r="N67" s="122">
        <f t="shared" si="41"/>
        <v>0</v>
      </c>
      <c r="O67" s="122">
        <f t="shared" si="41"/>
        <v>110</v>
      </c>
      <c r="P67" s="122">
        <f t="shared" si="41"/>
        <v>0</v>
      </c>
      <c r="Q67" s="122">
        <f t="shared" si="41"/>
        <v>0</v>
      </c>
      <c r="R67" s="122">
        <f t="shared" si="41"/>
        <v>40</v>
      </c>
      <c r="S67" s="122">
        <f t="shared" si="41"/>
        <v>0</v>
      </c>
      <c r="T67" s="122">
        <f>SUM(T55:T66)</f>
        <v>0</v>
      </c>
      <c r="U67" s="122">
        <f>SUM(U55:U66)</f>
        <v>0</v>
      </c>
      <c r="V67" s="122">
        <f>SUM(V55:V66)</f>
        <v>0</v>
      </c>
      <c r="W67" s="122">
        <f>SUM(W55:W66)</f>
        <v>0</v>
      </c>
      <c r="X67" s="122">
        <f t="shared" si="41"/>
        <v>40</v>
      </c>
      <c r="Y67" s="122">
        <f t="shared" si="41"/>
        <v>3519</v>
      </c>
      <c r="Z67" s="122">
        <f t="shared" si="41"/>
        <v>714.948833109478</v>
      </c>
      <c r="AA67" s="122">
        <f t="shared" si="41"/>
        <v>2189.842962896674</v>
      </c>
      <c r="AB67" s="122">
        <f t="shared" si="41"/>
        <v>614.2082039938475</v>
      </c>
      <c r="AC67" s="122">
        <f>SUM(AC55:AC66)</f>
        <v>0</v>
      </c>
      <c r="AD67" s="122">
        <f>SUM(AD55:AD66)</f>
        <v>3519</v>
      </c>
      <c r="AE67" s="122">
        <f t="shared" si="41"/>
        <v>0</v>
      </c>
      <c r="AF67" s="122">
        <f t="shared" si="41"/>
        <v>80</v>
      </c>
      <c r="AG67" s="122">
        <f t="shared" si="41"/>
        <v>80</v>
      </c>
      <c r="AH67" s="122">
        <f t="shared" si="41"/>
        <v>4644</v>
      </c>
    </row>
    <row r="68" spans="1:34" ht="12">
      <c r="A68" s="115" t="s">
        <v>146</v>
      </c>
      <c r="B68" s="117">
        <f>hiv!D124</f>
        <v>650</v>
      </c>
      <c r="C68" s="117"/>
      <c r="D68" s="117"/>
      <c r="E68" s="120">
        <f>SUM(B68:D68)</f>
        <v>650</v>
      </c>
      <c r="F68" s="117"/>
      <c r="G68" s="117"/>
      <c r="H68" s="120">
        <f>SUM(F68:G68)</f>
        <v>0</v>
      </c>
      <c r="I68" s="117"/>
      <c r="J68" s="117"/>
      <c r="K68" s="117"/>
      <c r="L68" s="117"/>
      <c r="M68" s="117"/>
      <c r="N68" s="117"/>
      <c r="O68" s="120">
        <f t="shared" si="38"/>
        <v>0</v>
      </c>
      <c r="P68" s="117"/>
      <c r="Q68" s="117"/>
      <c r="R68" s="117">
        <f>fsp!$D$169</f>
        <v>45</v>
      </c>
      <c r="S68" s="117"/>
      <c r="T68" s="117"/>
      <c r="U68" s="117"/>
      <c r="V68" s="117"/>
      <c r="W68" s="117"/>
      <c r="X68" s="120">
        <f t="shared" si="39"/>
        <v>45</v>
      </c>
      <c r="Y68" s="117"/>
      <c r="Z68" s="117">
        <f>Y68*iét!$D$226</f>
        <v>0</v>
      </c>
      <c r="AA68" s="117">
        <f>Y68*iét!$D$227</f>
        <v>0</v>
      </c>
      <c r="AB68" s="117">
        <f>Y68*iét!$D$228</f>
        <v>0</v>
      </c>
      <c r="AC68" s="117">
        <f>Y68*iét!$D$229</f>
        <v>0</v>
      </c>
      <c r="AD68" s="120">
        <f aca="true" t="shared" si="42" ref="AD68:AD128">SUM(Z68:AC68)</f>
        <v>0</v>
      </c>
      <c r="AE68" s="117"/>
      <c r="AF68" s="117"/>
      <c r="AG68" s="120">
        <f>SUM(AE68:AF68)</f>
        <v>0</v>
      </c>
      <c r="AH68" s="131">
        <f t="shared" si="40"/>
        <v>695</v>
      </c>
    </row>
    <row r="69" spans="1:34" ht="12">
      <c r="A69" s="115" t="s">
        <v>147</v>
      </c>
      <c r="B69" s="117">
        <f>hiv!D125</f>
        <v>20</v>
      </c>
      <c r="C69" s="117"/>
      <c r="D69" s="117"/>
      <c r="E69" s="120">
        <f>SUM(B69:D69)</f>
        <v>20</v>
      </c>
      <c r="F69" s="117"/>
      <c r="G69" s="117"/>
      <c r="H69" s="120">
        <f>SUM(F69:G69)</f>
        <v>0</v>
      </c>
      <c r="I69" s="117"/>
      <c r="J69" s="117"/>
      <c r="K69" s="117"/>
      <c r="L69" s="117"/>
      <c r="M69" s="117"/>
      <c r="N69" s="117"/>
      <c r="O69" s="120">
        <f t="shared" si="38"/>
        <v>0</v>
      </c>
      <c r="P69" s="117"/>
      <c r="Q69" s="117"/>
      <c r="R69" s="117"/>
      <c r="S69" s="117"/>
      <c r="T69" s="117"/>
      <c r="U69" s="117"/>
      <c r="V69" s="117"/>
      <c r="W69" s="117"/>
      <c r="X69" s="120">
        <f t="shared" si="39"/>
        <v>0</v>
      </c>
      <c r="Y69" s="117"/>
      <c r="Z69" s="117">
        <f>Y69*iét!$D$226</f>
        <v>0</v>
      </c>
      <c r="AA69" s="117">
        <f>Y69*iét!$D$227</f>
        <v>0</v>
      </c>
      <c r="AB69" s="117">
        <f>Y69*iét!$D$228</f>
        <v>0</v>
      </c>
      <c r="AC69" s="117">
        <f>Y69*iét!$D$229</f>
        <v>0</v>
      </c>
      <c r="AD69" s="120">
        <f t="shared" si="42"/>
        <v>0</v>
      </c>
      <c r="AE69" s="117"/>
      <c r="AF69" s="117"/>
      <c r="AG69" s="120">
        <f>SUM(AE69:AF69)</f>
        <v>0</v>
      </c>
      <c r="AH69" s="131">
        <f t="shared" si="40"/>
        <v>20</v>
      </c>
    </row>
    <row r="70" spans="1:34" ht="12">
      <c r="A70" s="115" t="s">
        <v>848</v>
      </c>
      <c r="B70" s="117">
        <f>hiv!D126</f>
        <v>130</v>
      </c>
      <c r="C70" s="117"/>
      <c r="D70" s="117"/>
      <c r="E70" s="120">
        <f>SUM(B70:D70)</f>
        <v>130</v>
      </c>
      <c r="F70" s="117"/>
      <c r="G70" s="117"/>
      <c r="H70" s="120">
        <f>SUM(F70:G70)</f>
        <v>0</v>
      </c>
      <c r="I70" s="117"/>
      <c r="J70" s="117"/>
      <c r="K70" s="117"/>
      <c r="L70" s="117"/>
      <c r="M70" s="117"/>
      <c r="N70" s="117"/>
      <c r="O70" s="120">
        <f t="shared" si="38"/>
        <v>0</v>
      </c>
      <c r="P70" s="117"/>
      <c r="Q70" s="117"/>
      <c r="R70" s="117"/>
      <c r="S70" s="117"/>
      <c r="T70" s="117"/>
      <c r="U70" s="117"/>
      <c r="V70" s="117"/>
      <c r="W70" s="117"/>
      <c r="X70" s="120">
        <f t="shared" si="39"/>
        <v>0</v>
      </c>
      <c r="Y70" s="117"/>
      <c r="Z70" s="117">
        <f>Y70*iét!$D$226</f>
        <v>0</v>
      </c>
      <c r="AA70" s="117">
        <f>Y70*iét!$D$227</f>
        <v>0</v>
      </c>
      <c r="AB70" s="117">
        <f>Y70*iét!$D$228</f>
        <v>0</v>
      </c>
      <c r="AC70" s="117">
        <f>Y70*iét!$D$229</f>
        <v>0</v>
      </c>
      <c r="AD70" s="120">
        <f t="shared" si="42"/>
        <v>0</v>
      </c>
      <c r="AE70" s="117"/>
      <c r="AF70" s="117"/>
      <c r="AG70" s="120">
        <f>SUM(AE70:AF70)</f>
        <v>0</v>
      </c>
      <c r="AH70" s="131">
        <f t="shared" si="40"/>
        <v>130</v>
      </c>
    </row>
    <row r="71" spans="1:34" ht="12">
      <c r="A71" s="121" t="s">
        <v>148</v>
      </c>
      <c r="B71" s="122">
        <f aca="true" t="shared" si="43" ref="B71:AH71">SUM(B68:B70)</f>
        <v>800</v>
      </c>
      <c r="C71" s="122"/>
      <c r="D71" s="122">
        <f t="shared" si="43"/>
        <v>0</v>
      </c>
      <c r="E71" s="122">
        <f t="shared" si="43"/>
        <v>800</v>
      </c>
      <c r="F71" s="122">
        <f>SUM(F68:F70)</f>
        <v>0</v>
      </c>
      <c r="G71" s="122">
        <f t="shared" si="43"/>
        <v>0</v>
      </c>
      <c r="H71" s="122">
        <f t="shared" si="43"/>
        <v>0</v>
      </c>
      <c r="I71" s="122">
        <f t="shared" si="43"/>
        <v>0</v>
      </c>
      <c r="J71" s="122">
        <f t="shared" si="43"/>
        <v>0</v>
      </c>
      <c r="K71" s="122">
        <f t="shared" si="43"/>
        <v>0</v>
      </c>
      <c r="L71" s="122">
        <f t="shared" si="43"/>
        <v>0</v>
      </c>
      <c r="M71" s="122">
        <f t="shared" si="43"/>
        <v>0</v>
      </c>
      <c r="N71" s="122">
        <f t="shared" si="43"/>
        <v>0</v>
      </c>
      <c r="O71" s="122">
        <f t="shared" si="43"/>
        <v>0</v>
      </c>
      <c r="P71" s="122">
        <f t="shared" si="43"/>
        <v>0</v>
      </c>
      <c r="Q71" s="122">
        <f t="shared" si="43"/>
        <v>0</v>
      </c>
      <c r="R71" s="122">
        <f t="shared" si="43"/>
        <v>45</v>
      </c>
      <c r="S71" s="122">
        <f t="shared" si="43"/>
        <v>0</v>
      </c>
      <c r="T71" s="122">
        <f>SUM(T68:T70)</f>
        <v>0</v>
      </c>
      <c r="U71" s="122">
        <f>SUM(U68:U70)</f>
        <v>0</v>
      </c>
      <c r="V71" s="122">
        <f>SUM(V68:V70)</f>
        <v>0</v>
      </c>
      <c r="W71" s="122">
        <f>SUM(W68:W70)</f>
        <v>0</v>
      </c>
      <c r="X71" s="122">
        <f t="shared" si="43"/>
        <v>45</v>
      </c>
      <c r="Y71" s="122">
        <f t="shared" si="43"/>
        <v>0</v>
      </c>
      <c r="Z71" s="122">
        <f t="shared" si="43"/>
        <v>0</v>
      </c>
      <c r="AA71" s="122">
        <f t="shared" si="43"/>
        <v>0</v>
      </c>
      <c r="AB71" s="122">
        <f t="shared" si="43"/>
        <v>0</v>
      </c>
      <c r="AC71" s="122">
        <f>SUM(AC68:AC70)</f>
        <v>0</v>
      </c>
      <c r="AD71" s="122">
        <f>SUM(AD68:AD70)</f>
        <v>0</v>
      </c>
      <c r="AE71" s="122">
        <f t="shared" si="43"/>
        <v>0</v>
      </c>
      <c r="AF71" s="122">
        <f t="shared" si="43"/>
        <v>0</v>
      </c>
      <c r="AG71" s="122">
        <f t="shared" si="43"/>
        <v>0</v>
      </c>
      <c r="AH71" s="122">
        <f t="shared" si="43"/>
        <v>845</v>
      </c>
    </row>
    <row r="72" spans="1:34" ht="12">
      <c r="A72" s="115" t="s">
        <v>149</v>
      </c>
      <c r="B72" s="117">
        <v>0</v>
      </c>
      <c r="C72" s="117"/>
      <c r="D72" s="117"/>
      <c r="E72" s="120">
        <f aca="true" t="shared" si="44" ref="E72:E80">SUM(B72:D72)</f>
        <v>0</v>
      </c>
      <c r="F72" s="117"/>
      <c r="G72" s="117"/>
      <c r="H72" s="120">
        <f aca="true" t="shared" si="45" ref="H72:H80">SUM(F72:G72)</f>
        <v>0</v>
      </c>
      <c r="I72" s="117"/>
      <c r="J72" s="117"/>
      <c r="K72" s="117"/>
      <c r="L72" s="117"/>
      <c r="M72" s="117"/>
      <c r="N72" s="117"/>
      <c r="O72" s="120">
        <f t="shared" si="38"/>
        <v>0</v>
      </c>
      <c r="P72" s="117"/>
      <c r="Q72" s="117"/>
      <c r="R72" s="117"/>
      <c r="S72" s="117"/>
      <c r="T72" s="117"/>
      <c r="U72" s="117"/>
      <c r="V72" s="117"/>
      <c r="W72" s="117"/>
      <c r="X72" s="120">
        <f t="shared" si="39"/>
        <v>0</v>
      </c>
      <c r="Y72" s="117"/>
      <c r="Z72" s="117">
        <f>Y72*iét!$D$226</f>
        <v>0</v>
      </c>
      <c r="AA72" s="117">
        <f>Y72*iét!$D$227</f>
        <v>0</v>
      </c>
      <c r="AB72" s="117">
        <f>Y72*iét!$D$228</f>
        <v>0</v>
      </c>
      <c r="AC72" s="117">
        <f>Y72*iét!$D$229</f>
        <v>0</v>
      </c>
      <c r="AD72" s="120">
        <f t="shared" si="42"/>
        <v>0</v>
      </c>
      <c r="AE72" s="117"/>
      <c r="AF72" s="117"/>
      <c r="AG72" s="120">
        <f aca="true" t="shared" si="46" ref="AG72:AG80">SUM(AE72:AF72)</f>
        <v>0</v>
      </c>
      <c r="AH72" s="131">
        <f t="shared" si="40"/>
        <v>0</v>
      </c>
    </row>
    <row r="73" spans="1:34" ht="12">
      <c r="A73" s="115" t="s">
        <v>150</v>
      </c>
      <c r="B73" s="117">
        <f>hiv!D128</f>
        <v>50</v>
      </c>
      <c r="C73" s="117"/>
      <c r="D73" s="117"/>
      <c r="E73" s="120">
        <f t="shared" si="44"/>
        <v>50</v>
      </c>
      <c r="F73" s="117">
        <f>isk!D72</f>
        <v>350</v>
      </c>
      <c r="G73" s="117">
        <f>isk!D121</f>
        <v>65</v>
      </c>
      <c r="H73" s="120">
        <f t="shared" si="45"/>
        <v>415</v>
      </c>
      <c r="I73" s="117"/>
      <c r="J73" s="117"/>
      <c r="K73" s="117"/>
      <c r="L73" s="117"/>
      <c r="M73" s="117"/>
      <c r="N73" s="117"/>
      <c r="O73" s="120">
        <f t="shared" si="38"/>
        <v>0</v>
      </c>
      <c r="P73" s="117"/>
      <c r="Q73" s="117"/>
      <c r="R73" s="117"/>
      <c r="S73" s="117"/>
      <c r="T73" s="117"/>
      <c r="U73" s="117"/>
      <c r="V73" s="117"/>
      <c r="W73" s="117"/>
      <c r="X73" s="120">
        <f t="shared" si="39"/>
        <v>0</v>
      </c>
      <c r="Y73" s="117"/>
      <c r="Z73" s="117">
        <f>Y73*iét!$D$226</f>
        <v>0</v>
      </c>
      <c r="AA73" s="117">
        <f>Y73*iét!$D$227</f>
        <v>0</v>
      </c>
      <c r="AB73" s="117">
        <f>Y73*iét!$D$228</f>
        <v>0</v>
      </c>
      <c r="AC73" s="117">
        <f>Y73*iét!$D$229</f>
        <v>0</v>
      </c>
      <c r="AD73" s="120">
        <f t="shared" si="42"/>
        <v>0</v>
      </c>
      <c r="AE73" s="117"/>
      <c r="AF73" s="117">
        <f>elsz!$D$91</f>
        <v>30</v>
      </c>
      <c r="AG73" s="120">
        <f t="shared" si="46"/>
        <v>30</v>
      </c>
      <c r="AH73" s="131">
        <f t="shared" si="40"/>
        <v>495</v>
      </c>
    </row>
    <row r="74" spans="1:34" ht="12">
      <c r="A74" s="115" t="s">
        <v>151</v>
      </c>
      <c r="B74" s="117">
        <f>hiv!D129</f>
        <v>5</v>
      </c>
      <c r="C74" s="117"/>
      <c r="D74" s="117"/>
      <c r="E74" s="120">
        <f t="shared" si="44"/>
        <v>5</v>
      </c>
      <c r="F74" s="117">
        <f>isk!D73</f>
        <v>0</v>
      </c>
      <c r="G74" s="117"/>
      <c r="H74" s="120">
        <f t="shared" si="45"/>
        <v>0</v>
      </c>
      <c r="I74" s="117"/>
      <c r="J74" s="117">
        <f>teü!$D$80</f>
        <v>0</v>
      </c>
      <c r="K74" s="117"/>
      <c r="L74" s="117"/>
      <c r="M74" s="117"/>
      <c r="N74" s="117">
        <f>teü!$D$196</f>
        <v>0</v>
      </c>
      <c r="O74" s="120">
        <f t="shared" si="38"/>
        <v>0</v>
      </c>
      <c r="P74" s="117"/>
      <c r="Q74" s="117"/>
      <c r="R74" s="117"/>
      <c r="S74" s="117"/>
      <c r="T74" s="117"/>
      <c r="U74" s="117"/>
      <c r="V74" s="117"/>
      <c r="W74" s="117"/>
      <c r="X74" s="120">
        <f t="shared" si="39"/>
        <v>0</v>
      </c>
      <c r="Y74" s="117">
        <f>iét!$D$192</f>
        <v>0</v>
      </c>
      <c r="Z74" s="117">
        <f>Y74*iét!$D$226</f>
        <v>0</v>
      </c>
      <c r="AA74" s="117">
        <f>Y74*iét!$D$227</f>
        <v>0</v>
      </c>
      <c r="AB74" s="117">
        <f>Y74*iét!$D$228</f>
        <v>0</v>
      </c>
      <c r="AC74" s="117">
        <f>Y74*iét!$D$229</f>
        <v>0</v>
      </c>
      <c r="AD74" s="120">
        <f t="shared" si="42"/>
        <v>0</v>
      </c>
      <c r="AE74" s="117"/>
      <c r="AF74" s="117"/>
      <c r="AG74" s="120">
        <f t="shared" si="46"/>
        <v>0</v>
      </c>
      <c r="AH74" s="131">
        <f t="shared" si="40"/>
        <v>5</v>
      </c>
    </row>
    <row r="75" spans="1:34" ht="12">
      <c r="A75" s="115" t="s">
        <v>152</v>
      </c>
      <c r="B75" s="117">
        <f>hiv!D130</f>
        <v>700</v>
      </c>
      <c r="C75" s="117"/>
      <c r="D75" s="117"/>
      <c r="E75" s="120">
        <f t="shared" si="44"/>
        <v>700</v>
      </c>
      <c r="F75" s="117">
        <f>isk!D74</f>
        <v>1500</v>
      </c>
      <c r="G75" s="117">
        <f>isk!D123</f>
        <v>400</v>
      </c>
      <c r="H75" s="120">
        <f t="shared" si="45"/>
        <v>1900</v>
      </c>
      <c r="I75" s="117"/>
      <c r="J75" s="117"/>
      <c r="K75" s="117"/>
      <c r="L75" s="117"/>
      <c r="M75" s="117"/>
      <c r="N75" s="117"/>
      <c r="O75" s="120">
        <f t="shared" si="38"/>
        <v>0</v>
      </c>
      <c r="P75" s="117"/>
      <c r="Q75" s="117"/>
      <c r="R75" s="117">
        <f>fsp!$D$170</f>
        <v>150</v>
      </c>
      <c r="S75" s="117"/>
      <c r="T75" s="117"/>
      <c r="U75" s="117"/>
      <c r="V75" s="117"/>
      <c r="W75" s="117"/>
      <c r="X75" s="120">
        <f t="shared" si="39"/>
        <v>150</v>
      </c>
      <c r="Y75" s="117">
        <f>iét!$D$193</f>
        <v>450</v>
      </c>
      <c r="Z75" s="117">
        <f>Y75*iét!$D$226</f>
        <v>91.42568198330919</v>
      </c>
      <c r="AA75" s="117">
        <f>Y75*iét!$D$227</f>
        <v>280.03106942412717</v>
      </c>
      <c r="AB75" s="117">
        <f>Y75*iét!$D$228</f>
        <v>78.54324859256364</v>
      </c>
      <c r="AC75" s="117">
        <f>Y75*iét!$D$229</f>
        <v>0</v>
      </c>
      <c r="AD75" s="120">
        <f t="shared" si="42"/>
        <v>450</v>
      </c>
      <c r="AE75" s="117"/>
      <c r="AF75" s="117">
        <f>elsz!$D$92</f>
        <v>500</v>
      </c>
      <c r="AG75" s="120">
        <f t="shared" si="46"/>
        <v>500</v>
      </c>
      <c r="AH75" s="131">
        <f t="shared" si="40"/>
        <v>3700</v>
      </c>
    </row>
    <row r="76" spans="1:34" ht="12">
      <c r="A76" s="115" t="s">
        <v>1160</v>
      </c>
      <c r="B76" s="117">
        <f>hiv!D131</f>
        <v>150</v>
      </c>
      <c r="C76" s="117"/>
      <c r="D76" s="117"/>
      <c r="E76" s="120">
        <f t="shared" si="44"/>
        <v>150</v>
      </c>
      <c r="F76" s="117">
        <f>isk!D75</f>
        <v>800</v>
      </c>
      <c r="G76" s="117">
        <f>isk!D124</f>
        <v>400</v>
      </c>
      <c r="H76" s="120">
        <f t="shared" si="45"/>
        <v>1200</v>
      </c>
      <c r="I76" s="117"/>
      <c r="J76" s="117"/>
      <c r="K76" s="117">
        <f>teü!$D$126</f>
        <v>50</v>
      </c>
      <c r="L76" s="117">
        <f>teü!$D$152</f>
        <v>600</v>
      </c>
      <c r="M76" s="117"/>
      <c r="N76" s="117"/>
      <c r="O76" s="120">
        <f t="shared" si="38"/>
        <v>650</v>
      </c>
      <c r="P76" s="117"/>
      <c r="Q76" s="117"/>
      <c r="R76" s="117">
        <f>fsp!$D$171</f>
        <v>60</v>
      </c>
      <c r="S76" s="117"/>
      <c r="T76" s="117"/>
      <c r="U76" s="117"/>
      <c r="V76" s="117"/>
      <c r="W76" s="117"/>
      <c r="X76" s="120">
        <f t="shared" si="39"/>
        <v>60</v>
      </c>
      <c r="Y76" s="117">
        <f>iét!$D$194</f>
        <v>25</v>
      </c>
      <c r="Z76" s="117">
        <f>Y76*iét!$D$226</f>
        <v>5.079204554628288</v>
      </c>
      <c r="AA76" s="117">
        <f>Y76*iét!$D$227</f>
        <v>15.55728163467373</v>
      </c>
      <c r="AB76" s="117">
        <f>Y76*iét!$D$228</f>
        <v>4.36351381069798</v>
      </c>
      <c r="AC76" s="117">
        <f>Y76*iét!$D$229</f>
        <v>0</v>
      </c>
      <c r="AD76" s="120">
        <f t="shared" si="42"/>
        <v>25</v>
      </c>
      <c r="AE76" s="117"/>
      <c r="AF76" s="117">
        <f>elsz!$D$93</f>
        <v>220</v>
      </c>
      <c r="AG76" s="120">
        <f t="shared" si="46"/>
        <v>220</v>
      </c>
      <c r="AH76" s="131">
        <f t="shared" si="40"/>
        <v>2305</v>
      </c>
    </row>
    <row r="77" spans="1:34" ht="12">
      <c r="A77" s="115" t="s">
        <v>1161</v>
      </c>
      <c r="B77" s="117"/>
      <c r="C77" s="117"/>
      <c r="D77" s="117"/>
      <c r="E77" s="120">
        <f t="shared" si="44"/>
        <v>0</v>
      </c>
      <c r="F77" s="117"/>
      <c r="G77" s="117"/>
      <c r="H77" s="120">
        <f t="shared" si="45"/>
        <v>0</v>
      </c>
      <c r="I77" s="117"/>
      <c r="J77" s="117"/>
      <c r="K77" s="117"/>
      <c r="L77" s="117"/>
      <c r="M77" s="117"/>
      <c r="N77" s="117"/>
      <c r="O77" s="120">
        <f t="shared" si="38"/>
        <v>0</v>
      </c>
      <c r="P77" s="117"/>
      <c r="Q77" s="117"/>
      <c r="R77" s="117"/>
      <c r="S77" s="117"/>
      <c r="T77" s="117"/>
      <c r="U77" s="117"/>
      <c r="V77" s="117"/>
      <c r="W77" s="117"/>
      <c r="X77" s="120">
        <f t="shared" si="39"/>
        <v>0</v>
      </c>
      <c r="Y77" s="117"/>
      <c r="Z77" s="117">
        <f>Y77*iét!$D$226</f>
        <v>0</v>
      </c>
      <c r="AA77" s="117">
        <f>Y77*iét!$D$227</f>
        <v>0</v>
      </c>
      <c r="AB77" s="117">
        <f>Y77*iét!$D$228</f>
        <v>0</v>
      </c>
      <c r="AC77" s="117">
        <f>Y77*iét!$D$229</f>
        <v>0</v>
      </c>
      <c r="AD77" s="120">
        <f t="shared" si="42"/>
        <v>0</v>
      </c>
      <c r="AE77" s="117"/>
      <c r="AF77" s="117"/>
      <c r="AG77" s="120">
        <f t="shared" si="46"/>
        <v>0</v>
      </c>
      <c r="AH77" s="131">
        <f t="shared" si="40"/>
        <v>0</v>
      </c>
    </row>
    <row r="78" spans="1:34" ht="12">
      <c r="A78" s="115" t="s">
        <v>1162</v>
      </c>
      <c r="B78" s="117">
        <f>hiv!D132</f>
        <v>20</v>
      </c>
      <c r="C78" s="117"/>
      <c r="D78" s="117"/>
      <c r="E78" s="120">
        <f t="shared" si="44"/>
        <v>20</v>
      </c>
      <c r="F78" s="117">
        <f>isk!D76</f>
        <v>100</v>
      </c>
      <c r="G78" s="117">
        <f>isk!D125</f>
        <v>30</v>
      </c>
      <c r="H78" s="120">
        <f t="shared" si="45"/>
        <v>130</v>
      </c>
      <c r="I78" s="117"/>
      <c r="J78" s="117"/>
      <c r="K78" s="117">
        <f>teü!$D$127</f>
        <v>5</v>
      </c>
      <c r="L78" s="117"/>
      <c r="M78" s="117"/>
      <c r="N78" s="117"/>
      <c r="O78" s="120">
        <f t="shared" si="38"/>
        <v>5</v>
      </c>
      <c r="P78" s="117"/>
      <c r="Q78" s="117"/>
      <c r="R78" s="117">
        <f>fsp!$D$172</f>
        <v>5</v>
      </c>
      <c r="S78" s="117"/>
      <c r="T78" s="117"/>
      <c r="U78" s="117"/>
      <c r="V78" s="117"/>
      <c r="W78" s="117"/>
      <c r="X78" s="120">
        <f t="shared" si="39"/>
        <v>5</v>
      </c>
      <c r="Y78" s="117">
        <f>iét!$D$195</f>
        <v>15</v>
      </c>
      <c r="Z78" s="117">
        <f>Y78*iét!$D$226</f>
        <v>3.0475227327769727</v>
      </c>
      <c r="AA78" s="117">
        <f>Y78*iét!$D$227</f>
        <v>9.33436898080424</v>
      </c>
      <c r="AB78" s="117">
        <f>Y78*iét!$D$228</f>
        <v>2.618108286418788</v>
      </c>
      <c r="AC78" s="117">
        <f>Y78*iét!$D$229</f>
        <v>0</v>
      </c>
      <c r="AD78" s="120">
        <f t="shared" si="42"/>
        <v>15</v>
      </c>
      <c r="AE78" s="117"/>
      <c r="AF78" s="117">
        <f>elsz!$D$94</f>
        <v>5</v>
      </c>
      <c r="AG78" s="120">
        <f t="shared" si="46"/>
        <v>5</v>
      </c>
      <c r="AH78" s="131">
        <f t="shared" si="40"/>
        <v>180</v>
      </c>
    </row>
    <row r="79" spans="1:34" ht="12">
      <c r="A79" s="115" t="s">
        <v>1163</v>
      </c>
      <c r="B79" s="117">
        <f>hiv!D133</f>
        <v>350</v>
      </c>
      <c r="C79" s="117"/>
      <c r="D79" s="117"/>
      <c r="E79" s="120">
        <f t="shared" si="44"/>
        <v>350</v>
      </c>
      <c r="F79" s="117">
        <f>isk!D77</f>
        <v>100</v>
      </c>
      <c r="G79" s="117">
        <f>isk!D126</f>
        <v>25</v>
      </c>
      <c r="H79" s="120">
        <f t="shared" si="45"/>
        <v>125</v>
      </c>
      <c r="I79" s="117">
        <f>teü!$D$12</f>
        <v>0</v>
      </c>
      <c r="J79" s="117">
        <f>teü!$D$83</f>
        <v>0</v>
      </c>
      <c r="K79" s="117">
        <f>teü!$D$128</f>
        <v>0</v>
      </c>
      <c r="L79" s="117"/>
      <c r="M79" s="117"/>
      <c r="N79" s="117"/>
      <c r="O79" s="120">
        <f t="shared" si="38"/>
        <v>0</v>
      </c>
      <c r="P79" s="117"/>
      <c r="Q79" s="117"/>
      <c r="R79" s="117"/>
      <c r="S79" s="117"/>
      <c r="T79" s="117"/>
      <c r="U79" s="117"/>
      <c r="V79" s="117"/>
      <c r="W79" s="117"/>
      <c r="X79" s="120">
        <f t="shared" si="39"/>
        <v>0</v>
      </c>
      <c r="Y79" s="117">
        <f>iét!$D$196</f>
        <v>80</v>
      </c>
      <c r="Z79" s="117">
        <f>Y79*iét!$D$226</f>
        <v>16.253454574810522</v>
      </c>
      <c r="AA79" s="117">
        <f>Y79*iét!$D$227</f>
        <v>49.78330123095594</v>
      </c>
      <c r="AB79" s="117">
        <f>Y79*iét!$D$228</f>
        <v>13.963244194233537</v>
      </c>
      <c r="AC79" s="117">
        <f>Y79*iét!$D$229</f>
        <v>0</v>
      </c>
      <c r="AD79" s="120">
        <f t="shared" si="42"/>
        <v>80</v>
      </c>
      <c r="AE79" s="117"/>
      <c r="AF79" s="117">
        <f>elsz!$D$95</f>
        <v>20</v>
      </c>
      <c r="AG79" s="120">
        <f t="shared" si="46"/>
        <v>20</v>
      </c>
      <c r="AH79" s="131">
        <f t="shared" si="40"/>
        <v>575</v>
      </c>
    </row>
    <row r="80" spans="1:34" ht="12">
      <c r="A80" s="115" t="s">
        <v>1164</v>
      </c>
      <c r="B80" s="117">
        <f>hiv!D134</f>
        <v>120</v>
      </c>
      <c r="C80" s="117"/>
      <c r="D80" s="117">
        <f>körj!D70</f>
        <v>1083</v>
      </c>
      <c r="E80" s="120">
        <f t="shared" si="44"/>
        <v>1203</v>
      </c>
      <c r="F80" s="117">
        <f>isk!D78</f>
        <v>5</v>
      </c>
      <c r="G80" s="117">
        <f>isk!D127</f>
        <v>5</v>
      </c>
      <c r="H80" s="120">
        <f t="shared" si="45"/>
        <v>10</v>
      </c>
      <c r="I80" s="117"/>
      <c r="J80" s="117">
        <f>teü!$D$84</f>
        <v>50</v>
      </c>
      <c r="K80" s="117"/>
      <c r="L80" s="117">
        <f>teü!$D$153</f>
        <v>1100</v>
      </c>
      <c r="M80" s="117">
        <f>teü!$D$174</f>
        <v>1500</v>
      </c>
      <c r="N80" s="117"/>
      <c r="O80" s="120">
        <f t="shared" si="38"/>
        <v>2650</v>
      </c>
      <c r="P80" s="117"/>
      <c r="Q80" s="117"/>
      <c r="R80" s="117">
        <f>fsp!$D$173</f>
        <v>5</v>
      </c>
      <c r="S80" s="117"/>
      <c r="T80" s="117"/>
      <c r="U80" s="117"/>
      <c r="V80" s="117"/>
      <c r="W80" s="117"/>
      <c r="X80" s="120">
        <f t="shared" si="39"/>
        <v>5</v>
      </c>
      <c r="Y80" s="117">
        <f>iét!$D$197</f>
        <v>30</v>
      </c>
      <c r="Z80" s="117">
        <f>Y80*iét!$D$226</f>
        <v>6.095045465553945</v>
      </c>
      <c r="AA80" s="117">
        <f>Y80*iét!$D$227</f>
        <v>18.66873796160848</v>
      </c>
      <c r="AB80" s="117">
        <f>Y80*iét!$D$228</f>
        <v>5.236216572837576</v>
      </c>
      <c r="AC80" s="117">
        <f>Y80*iét!$D$229</f>
        <v>0</v>
      </c>
      <c r="AD80" s="120">
        <f t="shared" si="42"/>
        <v>30</v>
      </c>
      <c r="AE80" s="117"/>
      <c r="AF80" s="117">
        <f>elsz!$D$96</f>
        <v>5</v>
      </c>
      <c r="AG80" s="120">
        <f t="shared" si="46"/>
        <v>5</v>
      </c>
      <c r="AH80" s="131">
        <f t="shared" si="40"/>
        <v>3903</v>
      </c>
    </row>
    <row r="81" spans="1:34" ht="12">
      <c r="A81" s="121" t="s">
        <v>850</v>
      </c>
      <c r="B81" s="122">
        <f aca="true" t="shared" si="47" ref="B81:AH81">SUM(B72:B80)</f>
        <v>1395</v>
      </c>
      <c r="C81" s="122"/>
      <c r="D81" s="122">
        <f t="shared" si="47"/>
        <v>1083</v>
      </c>
      <c r="E81" s="122">
        <f t="shared" si="47"/>
        <v>2478</v>
      </c>
      <c r="F81" s="122">
        <f t="shared" si="47"/>
        <v>2855</v>
      </c>
      <c r="G81" s="122">
        <f t="shared" si="47"/>
        <v>925</v>
      </c>
      <c r="H81" s="122">
        <f>SUM(H72:H80)</f>
        <v>3780</v>
      </c>
      <c r="I81" s="122">
        <f t="shared" si="47"/>
        <v>0</v>
      </c>
      <c r="J81" s="122">
        <f t="shared" si="47"/>
        <v>50</v>
      </c>
      <c r="K81" s="122">
        <f t="shared" si="47"/>
        <v>55</v>
      </c>
      <c r="L81" s="122">
        <f t="shared" si="47"/>
        <v>1700</v>
      </c>
      <c r="M81" s="122">
        <f t="shared" si="47"/>
        <v>1500</v>
      </c>
      <c r="N81" s="122">
        <f t="shared" si="47"/>
        <v>0</v>
      </c>
      <c r="O81" s="122">
        <f t="shared" si="47"/>
        <v>3305</v>
      </c>
      <c r="P81" s="122">
        <f t="shared" si="47"/>
        <v>0</v>
      </c>
      <c r="Q81" s="122">
        <f t="shared" si="47"/>
        <v>0</v>
      </c>
      <c r="R81" s="122">
        <f t="shared" si="47"/>
        <v>220</v>
      </c>
      <c r="S81" s="122">
        <f t="shared" si="47"/>
        <v>0</v>
      </c>
      <c r="T81" s="122">
        <f>SUM(T72:T80)</f>
        <v>0</v>
      </c>
      <c r="U81" s="122">
        <f>SUM(U72:U80)</f>
        <v>0</v>
      </c>
      <c r="V81" s="122">
        <f>SUM(V72:V80)</f>
        <v>0</v>
      </c>
      <c r="W81" s="122">
        <f>SUM(W72:W80)</f>
        <v>0</v>
      </c>
      <c r="X81" s="122">
        <f t="shared" si="47"/>
        <v>220</v>
      </c>
      <c r="Y81" s="122">
        <f t="shared" si="47"/>
        <v>600</v>
      </c>
      <c r="Z81" s="122">
        <f t="shared" si="47"/>
        <v>121.90090931107892</v>
      </c>
      <c r="AA81" s="122">
        <f t="shared" si="47"/>
        <v>373.3747592321696</v>
      </c>
      <c r="AB81" s="122">
        <f t="shared" si="47"/>
        <v>104.72433145675153</v>
      </c>
      <c r="AC81" s="122">
        <f>SUM(AC72:AC80)</f>
        <v>0</v>
      </c>
      <c r="AD81" s="122">
        <f>SUM(AD72:AD80)</f>
        <v>600</v>
      </c>
      <c r="AE81" s="122">
        <f t="shared" si="47"/>
        <v>0</v>
      </c>
      <c r="AF81" s="122">
        <f t="shared" si="47"/>
        <v>780</v>
      </c>
      <c r="AG81" s="122">
        <f t="shared" si="47"/>
        <v>780</v>
      </c>
      <c r="AH81" s="122">
        <f t="shared" si="47"/>
        <v>11163</v>
      </c>
    </row>
    <row r="82" spans="1:34" ht="12">
      <c r="A82" s="115" t="s">
        <v>849</v>
      </c>
      <c r="B82" s="117">
        <f>hiv!D135</f>
        <v>100</v>
      </c>
      <c r="C82" s="117"/>
      <c r="D82" s="117"/>
      <c r="E82" s="120">
        <f>SUM(B82:D82)</f>
        <v>100</v>
      </c>
      <c r="F82" s="117">
        <f>isk!D79</f>
        <v>25</v>
      </c>
      <c r="G82" s="117">
        <f>isk!D128</f>
        <v>5</v>
      </c>
      <c r="H82" s="120">
        <f>SUM(F82:G82)</f>
        <v>30</v>
      </c>
      <c r="I82" s="117"/>
      <c r="J82" s="117"/>
      <c r="K82" s="117"/>
      <c r="L82" s="117"/>
      <c r="M82" s="117"/>
      <c r="N82" s="117"/>
      <c r="O82" s="120">
        <f t="shared" si="38"/>
        <v>0</v>
      </c>
      <c r="P82" s="117"/>
      <c r="Q82" s="117"/>
      <c r="R82" s="117">
        <f>fsp!D174</f>
        <v>5</v>
      </c>
      <c r="S82" s="117"/>
      <c r="T82" s="117"/>
      <c r="U82" s="117"/>
      <c r="V82" s="117"/>
      <c r="W82" s="117"/>
      <c r="X82" s="120">
        <f t="shared" si="39"/>
        <v>5</v>
      </c>
      <c r="Y82" s="117">
        <f>iét!$D$198</f>
        <v>70</v>
      </c>
      <c r="Z82" s="117">
        <f>Y82*iét!$D$226</f>
        <v>14.221772752959208</v>
      </c>
      <c r="AA82" s="117">
        <f>Y82*iét!$D$227</f>
        <v>43.56038857708645</v>
      </c>
      <c r="AB82" s="117">
        <f>Y82*iét!$D$228</f>
        <v>12.217838669954345</v>
      </c>
      <c r="AC82" s="117">
        <f>Y82*iét!$D$229</f>
        <v>0</v>
      </c>
      <c r="AD82" s="120">
        <f t="shared" si="42"/>
        <v>70</v>
      </c>
      <c r="AE82" s="117"/>
      <c r="AF82" s="117"/>
      <c r="AG82" s="120">
        <f>SUM(AE82:AF82)</f>
        <v>0</v>
      </c>
      <c r="AH82" s="131">
        <f t="shared" si="40"/>
        <v>205</v>
      </c>
    </row>
    <row r="83" spans="1:34" ht="12">
      <c r="A83" s="115" t="s">
        <v>1165</v>
      </c>
      <c r="B83" s="117">
        <f>hiv!D141</f>
        <v>643</v>
      </c>
      <c r="C83" s="117"/>
      <c r="D83" s="117">
        <f>körj!D75</f>
        <v>217</v>
      </c>
      <c r="E83" s="120">
        <f>SUM(B83:D83)</f>
        <v>860</v>
      </c>
      <c r="F83" s="117">
        <f>isk!D87</f>
        <v>588</v>
      </c>
      <c r="G83" s="117">
        <f>isk!D136</f>
        <v>198</v>
      </c>
      <c r="H83" s="120">
        <f>SUM(F83:G83)</f>
        <v>786</v>
      </c>
      <c r="I83" s="117">
        <f>teü!$D$15</f>
        <v>0</v>
      </c>
      <c r="J83" s="117">
        <f>teü!$D$91</f>
        <v>28</v>
      </c>
      <c r="K83" s="117">
        <f>teü!$D$135</f>
        <v>15</v>
      </c>
      <c r="L83" s="117">
        <f>teü!$D$157</f>
        <v>340</v>
      </c>
      <c r="M83" s="117">
        <f>teü!$D$178</f>
        <v>300</v>
      </c>
      <c r="N83" s="117">
        <f>teü!$D$199</f>
        <v>0</v>
      </c>
      <c r="O83" s="120">
        <f t="shared" si="38"/>
        <v>683</v>
      </c>
      <c r="P83" s="117"/>
      <c r="Q83" s="117"/>
      <c r="R83" s="117">
        <f>fsp!$D$180</f>
        <v>61</v>
      </c>
      <c r="S83" s="117"/>
      <c r="T83" s="117"/>
      <c r="U83" s="117"/>
      <c r="V83" s="117"/>
      <c r="W83" s="117"/>
      <c r="X83" s="120">
        <f t="shared" si="39"/>
        <v>61</v>
      </c>
      <c r="Y83" s="117">
        <f>iét!$D$205</f>
        <v>838</v>
      </c>
      <c r="Z83" s="117">
        <f>Y83*iét!$D$226</f>
        <v>170.25493667114023</v>
      </c>
      <c r="AA83" s="117">
        <f>Y83*iét!$D$227</f>
        <v>521.4800803942635</v>
      </c>
      <c r="AB83" s="117">
        <f>Y83*iét!$D$228</f>
        <v>146.2649829345963</v>
      </c>
      <c r="AC83" s="117">
        <f>Y83*iét!$D$229</f>
        <v>0</v>
      </c>
      <c r="AD83" s="120">
        <f t="shared" si="42"/>
        <v>838.0000000000001</v>
      </c>
      <c r="AE83" s="117"/>
      <c r="AF83" s="117">
        <f>elsz!$D$103</f>
        <v>172</v>
      </c>
      <c r="AG83" s="120">
        <f>SUM(AE83:AF83)</f>
        <v>172</v>
      </c>
      <c r="AH83" s="131">
        <f t="shared" si="40"/>
        <v>3400</v>
      </c>
    </row>
    <row r="84" spans="1:34" ht="12">
      <c r="A84" s="115" t="s">
        <v>1166</v>
      </c>
      <c r="B84" s="117"/>
      <c r="C84" s="117"/>
      <c r="D84" s="117"/>
      <c r="E84" s="120">
        <f>SUM(B84:D84)</f>
        <v>0</v>
      </c>
      <c r="F84" s="117"/>
      <c r="G84" s="117"/>
      <c r="H84" s="120">
        <f>SUM(F84:G84)</f>
        <v>0</v>
      </c>
      <c r="I84" s="117"/>
      <c r="J84" s="117"/>
      <c r="K84" s="117"/>
      <c r="L84" s="117"/>
      <c r="M84" s="117"/>
      <c r="N84" s="117"/>
      <c r="O84" s="120">
        <f t="shared" si="38"/>
        <v>0</v>
      </c>
      <c r="P84" s="117"/>
      <c r="Q84" s="117"/>
      <c r="R84" s="117"/>
      <c r="S84" s="117"/>
      <c r="T84" s="117"/>
      <c r="U84" s="117"/>
      <c r="V84" s="117"/>
      <c r="W84" s="117"/>
      <c r="X84" s="120">
        <f t="shared" si="39"/>
        <v>0</v>
      </c>
      <c r="Y84" s="117"/>
      <c r="Z84" s="117">
        <f>Y84*iét!$D$226</f>
        <v>0</v>
      </c>
      <c r="AA84" s="117">
        <f>Y84*iét!$D$227</f>
        <v>0</v>
      </c>
      <c r="AB84" s="117">
        <f>Y84*iét!$D$228</f>
        <v>0</v>
      </c>
      <c r="AC84" s="117">
        <f>Y84*iét!$D$229</f>
        <v>0</v>
      </c>
      <c r="AD84" s="120">
        <f t="shared" si="42"/>
        <v>0</v>
      </c>
      <c r="AE84" s="117"/>
      <c r="AF84" s="117"/>
      <c r="AG84" s="120">
        <f>SUM(AE84:AF84)</f>
        <v>0</v>
      </c>
      <c r="AH84" s="131">
        <f t="shared" si="40"/>
        <v>0</v>
      </c>
    </row>
    <row r="85" spans="1:34" ht="12">
      <c r="A85" s="115" t="s">
        <v>1315</v>
      </c>
      <c r="B85" s="117"/>
      <c r="C85" s="117"/>
      <c r="D85" s="117"/>
      <c r="E85" s="120">
        <f>SUM(B85:D85)</f>
        <v>0</v>
      </c>
      <c r="F85" s="117"/>
      <c r="G85" s="117"/>
      <c r="H85" s="120">
        <f>SUM(F85:G85)</f>
        <v>0</v>
      </c>
      <c r="I85" s="117"/>
      <c r="J85" s="117"/>
      <c r="K85" s="117"/>
      <c r="L85" s="117"/>
      <c r="M85" s="117"/>
      <c r="N85" s="117"/>
      <c r="O85" s="120">
        <f t="shared" si="38"/>
        <v>0</v>
      </c>
      <c r="P85" s="117"/>
      <c r="Q85" s="117"/>
      <c r="R85" s="117"/>
      <c r="S85" s="117"/>
      <c r="T85" s="117"/>
      <c r="U85" s="117"/>
      <c r="V85" s="117"/>
      <c r="W85" s="117"/>
      <c r="X85" s="120">
        <f t="shared" si="39"/>
        <v>0</v>
      </c>
      <c r="Y85" s="117"/>
      <c r="Z85" s="117">
        <f>Y85*iét!$D$226</f>
        <v>0</v>
      </c>
      <c r="AA85" s="117">
        <f>Y85*iét!$D$227</f>
        <v>0</v>
      </c>
      <c r="AB85" s="117">
        <f>Y85*iét!$D$228</f>
        <v>0</v>
      </c>
      <c r="AC85" s="117">
        <f>Y85*iét!$D$229</f>
        <v>0</v>
      </c>
      <c r="AD85" s="120">
        <f t="shared" si="42"/>
        <v>0</v>
      </c>
      <c r="AE85" s="117"/>
      <c r="AF85" s="117"/>
      <c r="AG85" s="120">
        <f>SUM(AE85:AF85)</f>
        <v>0</v>
      </c>
      <c r="AH85" s="131">
        <f t="shared" si="40"/>
        <v>0</v>
      </c>
    </row>
    <row r="86" spans="1:34" ht="12">
      <c r="A86" s="115" t="s">
        <v>1316</v>
      </c>
      <c r="B86" s="117"/>
      <c r="C86" s="117"/>
      <c r="D86" s="117"/>
      <c r="E86" s="120">
        <f>SUM(B86:D86)</f>
        <v>0</v>
      </c>
      <c r="F86" s="117"/>
      <c r="G86" s="117"/>
      <c r="H86" s="120">
        <f>SUM(F86:G86)</f>
        <v>0</v>
      </c>
      <c r="I86" s="117"/>
      <c r="J86" s="117"/>
      <c r="K86" s="117"/>
      <c r="L86" s="117"/>
      <c r="M86" s="117"/>
      <c r="N86" s="117"/>
      <c r="O86" s="120">
        <f t="shared" si="38"/>
        <v>0</v>
      </c>
      <c r="P86" s="117"/>
      <c r="Q86" s="117"/>
      <c r="R86" s="117"/>
      <c r="S86" s="117"/>
      <c r="T86" s="117"/>
      <c r="U86" s="117"/>
      <c r="V86" s="117"/>
      <c r="W86" s="117"/>
      <c r="X86" s="120">
        <f t="shared" si="39"/>
        <v>0</v>
      </c>
      <c r="Y86" s="117"/>
      <c r="Z86" s="117">
        <f>Y86*iét!$D$226</f>
        <v>0</v>
      </c>
      <c r="AA86" s="117">
        <f>Y86*iét!$D$227</f>
        <v>0</v>
      </c>
      <c r="AB86" s="117">
        <f>Y86*iét!$D$228</f>
        <v>0</v>
      </c>
      <c r="AC86" s="117">
        <f>Y86*iét!$D$229</f>
        <v>0</v>
      </c>
      <c r="AD86" s="120">
        <f t="shared" si="42"/>
        <v>0</v>
      </c>
      <c r="AE86" s="117"/>
      <c r="AF86" s="117"/>
      <c r="AG86" s="120">
        <f>SUM(AE86:AF86)</f>
        <v>0</v>
      </c>
      <c r="AH86" s="131">
        <f t="shared" si="40"/>
        <v>0</v>
      </c>
    </row>
    <row r="87" spans="1:34" ht="12">
      <c r="A87" s="121" t="s">
        <v>1317</v>
      </c>
      <c r="B87" s="122">
        <f aca="true" t="shared" si="48" ref="B87:AH87">SUM(B83:B86)</f>
        <v>643</v>
      </c>
      <c r="C87" s="122">
        <f t="shared" si="48"/>
        <v>0</v>
      </c>
      <c r="D87" s="122">
        <f t="shared" si="48"/>
        <v>217</v>
      </c>
      <c r="E87" s="122">
        <f t="shared" si="48"/>
        <v>860</v>
      </c>
      <c r="F87" s="122">
        <f t="shared" si="48"/>
        <v>588</v>
      </c>
      <c r="G87" s="122">
        <f t="shared" si="48"/>
        <v>198</v>
      </c>
      <c r="H87" s="122">
        <f t="shared" si="48"/>
        <v>786</v>
      </c>
      <c r="I87" s="122">
        <f t="shared" si="48"/>
        <v>0</v>
      </c>
      <c r="J87" s="122">
        <f t="shared" si="48"/>
        <v>28</v>
      </c>
      <c r="K87" s="122">
        <f t="shared" si="48"/>
        <v>15</v>
      </c>
      <c r="L87" s="122">
        <f t="shared" si="48"/>
        <v>340</v>
      </c>
      <c r="M87" s="122">
        <f t="shared" si="48"/>
        <v>300</v>
      </c>
      <c r="N87" s="122">
        <f t="shared" si="48"/>
        <v>0</v>
      </c>
      <c r="O87" s="122">
        <f t="shared" si="48"/>
        <v>683</v>
      </c>
      <c r="P87" s="122">
        <f t="shared" si="48"/>
        <v>0</v>
      </c>
      <c r="Q87" s="122">
        <f t="shared" si="48"/>
        <v>0</v>
      </c>
      <c r="R87" s="122">
        <f t="shared" si="48"/>
        <v>61</v>
      </c>
      <c r="S87" s="122">
        <f t="shared" si="48"/>
        <v>0</v>
      </c>
      <c r="T87" s="122">
        <f t="shared" si="48"/>
        <v>0</v>
      </c>
      <c r="U87" s="122">
        <f t="shared" si="48"/>
        <v>0</v>
      </c>
      <c r="V87" s="122">
        <f t="shared" si="48"/>
        <v>0</v>
      </c>
      <c r="W87" s="122">
        <f t="shared" si="48"/>
        <v>0</v>
      </c>
      <c r="X87" s="122">
        <f t="shared" si="48"/>
        <v>61</v>
      </c>
      <c r="Y87" s="122">
        <f t="shared" si="48"/>
        <v>838</v>
      </c>
      <c r="Z87" s="122">
        <f t="shared" si="48"/>
        <v>170.25493667114023</v>
      </c>
      <c r="AA87" s="122">
        <f t="shared" si="48"/>
        <v>521.4800803942635</v>
      </c>
      <c r="AB87" s="122">
        <f t="shared" si="48"/>
        <v>146.2649829345963</v>
      </c>
      <c r="AC87" s="122">
        <f t="shared" si="48"/>
        <v>0</v>
      </c>
      <c r="AD87" s="122">
        <f t="shared" si="48"/>
        <v>838.0000000000001</v>
      </c>
      <c r="AE87" s="122">
        <f t="shared" si="48"/>
        <v>0</v>
      </c>
      <c r="AF87" s="122">
        <f t="shared" si="48"/>
        <v>172</v>
      </c>
      <c r="AG87" s="122">
        <f t="shared" si="48"/>
        <v>172</v>
      </c>
      <c r="AH87" s="122">
        <f t="shared" si="48"/>
        <v>3400</v>
      </c>
    </row>
    <row r="88" spans="1:34" ht="12">
      <c r="A88" s="115" t="s">
        <v>302</v>
      </c>
      <c r="B88" s="117">
        <f>hiv!D144</f>
        <v>60</v>
      </c>
      <c r="C88" s="117"/>
      <c r="D88" s="117"/>
      <c r="E88" s="120">
        <f>SUM(B88:D88)</f>
        <v>60</v>
      </c>
      <c r="F88" s="117"/>
      <c r="G88" s="117"/>
      <c r="H88" s="120">
        <f>SUM(F88:G88)</f>
        <v>0</v>
      </c>
      <c r="I88" s="117"/>
      <c r="J88" s="117">
        <f>teü!$D$94</f>
        <v>0</v>
      </c>
      <c r="K88" s="117"/>
      <c r="L88" s="117"/>
      <c r="M88" s="117"/>
      <c r="N88" s="117"/>
      <c r="O88" s="120">
        <f t="shared" si="38"/>
        <v>0</v>
      </c>
      <c r="P88" s="117"/>
      <c r="Q88" s="117"/>
      <c r="R88" s="117">
        <f>fsp!$D$182</f>
        <v>5</v>
      </c>
      <c r="S88" s="117"/>
      <c r="T88" s="117"/>
      <c r="U88" s="117"/>
      <c r="V88" s="117"/>
      <c r="W88" s="117"/>
      <c r="X88" s="120">
        <f t="shared" si="39"/>
        <v>5</v>
      </c>
      <c r="Y88" s="117">
        <f>iét!$D$208</f>
        <v>5</v>
      </c>
      <c r="Z88" s="117">
        <f>Y88*iét!$D$226</f>
        <v>1.0158409109256576</v>
      </c>
      <c r="AA88" s="117">
        <f>Y88*iét!$D$227</f>
        <v>3.1114563269347464</v>
      </c>
      <c r="AB88" s="117">
        <f>Y88*iét!$D$228</f>
        <v>0.8727027621395961</v>
      </c>
      <c r="AC88" s="117">
        <f>Y88*iét!$D$229</f>
        <v>0</v>
      </c>
      <c r="AD88" s="120">
        <f t="shared" si="42"/>
        <v>5</v>
      </c>
      <c r="AE88" s="117"/>
      <c r="AF88" s="117">
        <f>elsz!$D$105</f>
        <v>5</v>
      </c>
      <c r="AG88" s="120">
        <f>SUM(AE88:AF88)</f>
        <v>5</v>
      </c>
      <c r="AH88" s="131">
        <f t="shared" si="40"/>
        <v>75</v>
      </c>
    </row>
    <row r="89" spans="1:34" ht="12">
      <c r="A89" s="115" t="s">
        <v>1318</v>
      </c>
      <c r="B89" s="117">
        <f>hiv!D145</f>
        <v>160</v>
      </c>
      <c r="C89" s="117"/>
      <c r="D89" s="117"/>
      <c r="E89" s="120">
        <f>SUM(B89:D89)</f>
        <v>160</v>
      </c>
      <c r="F89" s="117"/>
      <c r="G89" s="117"/>
      <c r="H89" s="120">
        <f>SUM(F89:G89)</f>
        <v>0</v>
      </c>
      <c r="I89" s="117"/>
      <c r="J89" s="117"/>
      <c r="K89" s="117"/>
      <c r="L89" s="117"/>
      <c r="M89" s="117"/>
      <c r="N89" s="117"/>
      <c r="O89" s="120">
        <f t="shared" si="38"/>
        <v>0</v>
      </c>
      <c r="P89" s="117"/>
      <c r="Q89" s="117"/>
      <c r="R89" s="117"/>
      <c r="S89" s="117"/>
      <c r="T89" s="117"/>
      <c r="U89" s="117"/>
      <c r="V89" s="117"/>
      <c r="W89" s="117"/>
      <c r="X89" s="120">
        <f t="shared" si="39"/>
        <v>0</v>
      </c>
      <c r="Y89" s="117"/>
      <c r="Z89" s="117">
        <f>Y89*iét!$D$226</f>
        <v>0</v>
      </c>
      <c r="AA89" s="117">
        <f>Y89*iét!$D$227</f>
        <v>0</v>
      </c>
      <c r="AB89" s="117">
        <f>Y89*iét!$D$228</f>
        <v>0</v>
      </c>
      <c r="AC89" s="117">
        <f>Y89*iét!$D$229</f>
        <v>0</v>
      </c>
      <c r="AD89" s="120">
        <f t="shared" si="42"/>
        <v>0</v>
      </c>
      <c r="AE89" s="117"/>
      <c r="AF89" s="117"/>
      <c r="AG89" s="120">
        <f>SUM(AE89:AF89)</f>
        <v>0</v>
      </c>
      <c r="AH89" s="131">
        <f t="shared" si="40"/>
        <v>160</v>
      </c>
    </row>
    <row r="90" spans="1:34" ht="12">
      <c r="A90" s="115" t="s">
        <v>1319</v>
      </c>
      <c r="B90" s="117"/>
      <c r="C90" s="117"/>
      <c r="D90" s="117"/>
      <c r="E90" s="120">
        <f>SUM(B90:D90)</f>
        <v>0</v>
      </c>
      <c r="F90" s="117"/>
      <c r="G90" s="117"/>
      <c r="H90" s="120">
        <f>SUM(F90:G90)</f>
        <v>0</v>
      </c>
      <c r="I90" s="117"/>
      <c r="J90" s="117"/>
      <c r="K90" s="117"/>
      <c r="L90" s="117"/>
      <c r="M90" s="117"/>
      <c r="N90" s="117"/>
      <c r="O90" s="120">
        <f t="shared" si="38"/>
        <v>0</v>
      </c>
      <c r="P90" s="117"/>
      <c r="Q90" s="117"/>
      <c r="R90" s="117"/>
      <c r="S90" s="117"/>
      <c r="T90" s="117"/>
      <c r="U90" s="117"/>
      <c r="V90" s="117"/>
      <c r="W90" s="117"/>
      <c r="X90" s="120">
        <f t="shared" si="39"/>
        <v>0</v>
      </c>
      <c r="Y90" s="117"/>
      <c r="Z90" s="117">
        <f>Y90*iét!$D$226</f>
        <v>0</v>
      </c>
      <c r="AA90" s="117">
        <f>Y90*iét!$D$227</f>
        <v>0</v>
      </c>
      <c r="AB90" s="117">
        <f>Y90*iét!$D$228</f>
        <v>0</v>
      </c>
      <c r="AC90" s="117">
        <f>Y90*iét!$D$229</f>
        <v>0</v>
      </c>
      <c r="AD90" s="120">
        <f t="shared" si="42"/>
        <v>0</v>
      </c>
      <c r="AE90" s="117"/>
      <c r="AF90" s="117"/>
      <c r="AG90" s="120">
        <f>SUM(AE90:AF90)</f>
        <v>0</v>
      </c>
      <c r="AH90" s="131">
        <f t="shared" si="40"/>
        <v>0</v>
      </c>
    </row>
    <row r="91" spans="1:34" ht="12">
      <c r="A91" s="121" t="s">
        <v>1320</v>
      </c>
      <c r="B91" s="122">
        <f aca="true" t="shared" si="49" ref="B91:AH91">SUM(B88:B90)</f>
        <v>220</v>
      </c>
      <c r="C91" s="122"/>
      <c r="D91" s="122">
        <f t="shared" si="49"/>
        <v>0</v>
      </c>
      <c r="E91" s="122">
        <f t="shared" si="49"/>
        <v>220</v>
      </c>
      <c r="F91" s="122">
        <f>SUM(F88:F90)</f>
        <v>0</v>
      </c>
      <c r="G91" s="122">
        <f t="shared" si="49"/>
        <v>0</v>
      </c>
      <c r="H91" s="122">
        <f t="shared" si="49"/>
        <v>0</v>
      </c>
      <c r="I91" s="122">
        <f t="shared" si="49"/>
        <v>0</v>
      </c>
      <c r="J91" s="122">
        <f t="shared" si="49"/>
        <v>0</v>
      </c>
      <c r="K91" s="122">
        <f t="shared" si="49"/>
        <v>0</v>
      </c>
      <c r="L91" s="122">
        <f t="shared" si="49"/>
        <v>0</v>
      </c>
      <c r="M91" s="122">
        <f t="shared" si="49"/>
        <v>0</v>
      </c>
      <c r="N91" s="122">
        <f t="shared" si="49"/>
        <v>0</v>
      </c>
      <c r="O91" s="122">
        <f t="shared" si="49"/>
        <v>0</v>
      </c>
      <c r="P91" s="122">
        <f t="shared" si="49"/>
        <v>0</v>
      </c>
      <c r="Q91" s="122">
        <f t="shared" si="49"/>
        <v>0</v>
      </c>
      <c r="R91" s="122">
        <f t="shared" si="49"/>
        <v>5</v>
      </c>
      <c r="S91" s="122">
        <f t="shared" si="49"/>
        <v>0</v>
      </c>
      <c r="T91" s="122">
        <f>SUM(T88:T90)</f>
        <v>0</v>
      </c>
      <c r="U91" s="122">
        <f>SUM(U88:U90)</f>
        <v>0</v>
      </c>
      <c r="V91" s="122">
        <f>SUM(V88:V90)</f>
        <v>0</v>
      </c>
      <c r="W91" s="122">
        <f>SUM(W88:W90)</f>
        <v>0</v>
      </c>
      <c r="X91" s="122">
        <f t="shared" si="49"/>
        <v>5</v>
      </c>
      <c r="Y91" s="122">
        <f t="shared" si="49"/>
        <v>5</v>
      </c>
      <c r="Z91" s="122">
        <f t="shared" si="49"/>
        <v>1.0158409109256576</v>
      </c>
      <c r="AA91" s="122">
        <f t="shared" si="49"/>
        <v>3.1114563269347464</v>
      </c>
      <c r="AB91" s="122">
        <f t="shared" si="49"/>
        <v>0.8727027621395961</v>
      </c>
      <c r="AC91" s="122">
        <f>SUM(AC88:AC90)</f>
        <v>0</v>
      </c>
      <c r="AD91" s="122">
        <f>SUM(AD88:AD90)</f>
        <v>5</v>
      </c>
      <c r="AE91" s="122">
        <f t="shared" si="49"/>
        <v>0</v>
      </c>
      <c r="AF91" s="122">
        <f t="shared" si="49"/>
        <v>5</v>
      </c>
      <c r="AG91" s="122">
        <f t="shared" si="49"/>
        <v>5</v>
      </c>
      <c r="AH91" s="122">
        <f t="shared" si="49"/>
        <v>235</v>
      </c>
    </row>
    <row r="92" spans="1:34" ht="12">
      <c r="A92" s="115" t="s">
        <v>303</v>
      </c>
      <c r="B92" s="117">
        <f>hiv!D152</f>
        <v>750</v>
      </c>
      <c r="C92" s="117"/>
      <c r="D92" s="117"/>
      <c r="E92" s="120">
        <f>SUM(B92:D92)</f>
        <v>750</v>
      </c>
      <c r="F92" s="117"/>
      <c r="G92" s="117"/>
      <c r="H92" s="120">
        <f>SUM(F92:G92)</f>
        <v>0</v>
      </c>
      <c r="I92" s="117"/>
      <c r="J92" s="117">
        <f>teü!$D$95</f>
        <v>0</v>
      </c>
      <c r="K92" s="117"/>
      <c r="L92" s="117"/>
      <c r="M92" s="117"/>
      <c r="N92" s="117"/>
      <c r="O92" s="120">
        <f t="shared" si="38"/>
        <v>0</v>
      </c>
      <c r="P92" s="117"/>
      <c r="Q92" s="117"/>
      <c r="R92" s="117">
        <f>fsp!$D$184</f>
        <v>5</v>
      </c>
      <c r="S92" s="117"/>
      <c r="T92" s="117"/>
      <c r="U92" s="117"/>
      <c r="V92" s="117"/>
      <c r="W92" s="117"/>
      <c r="X92" s="120">
        <f t="shared" si="39"/>
        <v>5</v>
      </c>
      <c r="Y92" s="117"/>
      <c r="Z92" s="117">
        <f>Y92*iét!$D$226</f>
        <v>0</v>
      </c>
      <c r="AA92" s="117">
        <f>Y92*iét!$D$227</f>
        <v>0</v>
      </c>
      <c r="AB92" s="117">
        <f>Y92*iét!$D$228</f>
        <v>0</v>
      </c>
      <c r="AC92" s="117">
        <f>Y92*iét!$D$229</f>
        <v>0</v>
      </c>
      <c r="AD92" s="120">
        <f t="shared" si="42"/>
        <v>0</v>
      </c>
      <c r="AE92" s="117"/>
      <c r="AF92" s="117"/>
      <c r="AG92" s="120">
        <f>SUM(AE92:AF92)</f>
        <v>0</v>
      </c>
      <c r="AH92" s="131">
        <f t="shared" si="40"/>
        <v>755</v>
      </c>
    </row>
    <row r="93" spans="1:34" ht="12">
      <c r="A93" s="116" t="s">
        <v>304</v>
      </c>
      <c r="B93" s="118">
        <f aca="true" t="shared" si="50" ref="B93:AG93">B67+B71+B81+B82+B87+B91+B92</f>
        <v>4683</v>
      </c>
      <c r="C93" s="118"/>
      <c r="D93" s="118">
        <f t="shared" si="50"/>
        <v>1300</v>
      </c>
      <c r="E93" s="118">
        <f t="shared" si="50"/>
        <v>5983</v>
      </c>
      <c r="F93" s="118">
        <f>F67+F71+F81+F82+F87+F91+F92</f>
        <v>3528</v>
      </c>
      <c r="G93" s="118">
        <f>G67+G71+G81+G82+G87+G91+G92</f>
        <v>1188</v>
      </c>
      <c r="H93" s="118">
        <f t="shared" si="50"/>
        <v>4716</v>
      </c>
      <c r="I93" s="118">
        <f t="shared" si="50"/>
        <v>0</v>
      </c>
      <c r="J93" s="118">
        <f t="shared" si="50"/>
        <v>168</v>
      </c>
      <c r="K93" s="118">
        <f t="shared" si="50"/>
        <v>90</v>
      </c>
      <c r="L93" s="118">
        <f t="shared" si="50"/>
        <v>2040</v>
      </c>
      <c r="M93" s="118">
        <f t="shared" si="50"/>
        <v>1800</v>
      </c>
      <c r="N93" s="118">
        <f t="shared" si="50"/>
        <v>0</v>
      </c>
      <c r="O93" s="118">
        <f t="shared" si="50"/>
        <v>4098</v>
      </c>
      <c r="P93" s="118">
        <f t="shared" si="50"/>
        <v>0</v>
      </c>
      <c r="Q93" s="118">
        <f t="shared" si="50"/>
        <v>0</v>
      </c>
      <c r="R93" s="118">
        <f t="shared" si="50"/>
        <v>381</v>
      </c>
      <c r="S93" s="118">
        <f t="shared" si="50"/>
        <v>0</v>
      </c>
      <c r="T93" s="118">
        <f>T67+T71+T81+T82+T87+T91+T92</f>
        <v>0</v>
      </c>
      <c r="U93" s="118">
        <f>U67+U71+U81+U82+U87+U91+U92</f>
        <v>0</v>
      </c>
      <c r="V93" s="118">
        <f>V67+V71+V81+V82+V87+V91+V92</f>
        <v>0</v>
      </c>
      <c r="W93" s="118">
        <f>W67+W71+W81+W82+W87+W91+W92</f>
        <v>0</v>
      </c>
      <c r="X93" s="118">
        <f t="shared" si="50"/>
        <v>381</v>
      </c>
      <c r="Y93" s="118">
        <f t="shared" si="50"/>
        <v>5032</v>
      </c>
      <c r="Z93" s="118">
        <f t="shared" si="50"/>
        <v>1022.342292755582</v>
      </c>
      <c r="AA93" s="118">
        <f t="shared" si="50"/>
        <v>3131.3696474271287</v>
      </c>
      <c r="AB93" s="118">
        <f t="shared" si="50"/>
        <v>878.2880598172893</v>
      </c>
      <c r="AC93" s="118">
        <f>AC67+AC71+AC81+AC82+AC87+AC91+AC92</f>
        <v>0</v>
      </c>
      <c r="AD93" s="118">
        <f>AD67+AD71+AD81+AD82+AD87+AD91+AD92</f>
        <v>5032</v>
      </c>
      <c r="AE93" s="118">
        <f t="shared" si="50"/>
        <v>0</v>
      </c>
      <c r="AF93" s="118">
        <f t="shared" si="50"/>
        <v>1037</v>
      </c>
      <c r="AG93" s="118">
        <f t="shared" si="50"/>
        <v>1037</v>
      </c>
      <c r="AH93" s="118">
        <f>AH67+AH71+AH81+AH82+AH87+AH91+AH92</f>
        <v>21247</v>
      </c>
    </row>
    <row r="94" spans="1:34" ht="12">
      <c r="A94" s="115" t="s">
        <v>1321</v>
      </c>
      <c r="B94" s="117">
        <v>0</v>
      </c>
      <c r="C94" s="117"/>
      <c r="D94" s="117"/>
      <c r="E94" s="120">
        <f>SUM(B94:D94)</f>
        <v>0</v>
      </c>
      <c r="F94" s="117"/>
      <c r="G94" s="117"/>
      <c r="H94" s="120">
        <f>SUM(F94:G94)</f>
        <v>0</v>
      </c>
      <c r="I94" s="117"/>
      <c r="J94" s="117"/>
      <c r="K94" s="117"/>
      <c r="L94" s="117"/>
      <c r="M94" s="117"/>
      <c r="N94" s="117"/>
      <c r="O94" s="120">
        <f>SUM(I94:N94)</f>
        <v>0</v>
      </c>
      <c r="P94" s="117"/>
      <c r="Q94" s="117"/>
      <c r="R94" s="117"/>
      <c r="S94" s="117"/>
      <c r="T94" s="117"/>
      <c r="U94" s="117"/>
      <c r="V94" s="117"/>
      <c r="W94" s="117"/>
      <c r="X94" s="120">
        <f t="shared" si="39"/>
        <v>0</v>
      </c>
      <c r="Y94" s="117"/>
      <c r="Z94" s="117">
        <f>Y94*iét!$D$226</f>
        <v>0</v>
      </c>
      <c r="AA94" s="117">
        <f>Y94*iét!$D$227</f>
        <v>0</v>
      </c>
      <c r="AB94" s="117">
        <f>Y94*iét!$D$228</f>
        <v>0</v>
      </c>
      <c r="AC94" s="117">
        <f>Y94*iét!$D$229</f>
        <v>0</v>
      </c>
      <c r="AD94" s="120">
        <f t="shared" si="42"/>
        <v>0</v>
      </c>
      <c r="AE94" s="117"/>
      <c r="AF94" s="117"/>
      <c r="AG94" s="120">
        <f>SUM(AE94:AF94)</f>
        <v>0</v>
      </c>
      <c r="AH94" s="131">
        <f t="shared" si="40"/>
        <v>0</v>
      </c>
    </row>
    <row r="95" spans="1:34" ht="12">
      <c r="A95" s="115" t="s">
        <v>1322</v>
      </c>
      <c r="B95" s="117"/>
      <c r="C95" s="117"/>
      <c r="D95" s="117"/>
      <c r="E95" s="120">
        <f>SUM(B95:D95)</f>
        <v>0</v>
      </c>
      <c r="F95" s="117"/>
      <c r="G95" s="117"/>
      <c r="H95" s="120">
        <f>SUM(F95:G95)</f>
        <v>0</v>
      </c>
      <c r="I95" s="117"/>
      <c r="J95" s="117"/>
      <c r="K95" s="117"/>
      <c r="L95" s="117"/>
      <c r="M95" s="117"/>
      <c r="N95" s="117"/>
      <c r="O95" s="120">
        <f>SUM(I95:N95)</f>
        <v>0</v>
      </c>
      <c r="P95" s="117"/>
      <c r="Q95" s="117"/>
      <c r="R95" s="117"/>
      <c r="S95" s="117"/>
      <c r="T95" s="117"/>
      <c r="U95" s="117"/>
      <c r="V95" s="117"/>
      <c r="W95" s="117"/>
      <c r="X95" s="120">
        <f t="shared" si="39"/>
        <v>0</v>
      </c>
      <c r="Y95" s="117"/>
      <c r="Z95" s="117">
        <f>Y95*iét!$D$226</f>
        <v>0</v>
      </c>
      <c r="AA95" s="117">
        <f>Y95*iét!$D$227</f>
        <v>0</v>
      </c>
      <c r="AB95" s="117">
        <f>Y95*iét!$D$228</f>
        <v>0</v>
      </c>
      <c r="AC95" s="117">
        <f>Y95*iét!$D$229</f>
        <v>0</v>
      </c>
      <c r="AD95" s="120">
        <f t="shared" si="42"/>
        <v>0</v>
      </c>
      <c r="AE95" s="117"/>
      <c r="AF95" s="117"/>
      <c r="AG95" s="120">
        <f>SUM(AE95:AF95)</f>
        <v>0</v>
      </c>
      <c r="AH95" s="131">
        <f t="shared" si="40"/>
        <v>0</v>
      </c>
    </row>
    <row r="96" spans="1:34" ht="11.25" customHeight="1">
      <c r="A96" s="115" t="s">
        <v>1323</v>
      </c>
      <c r="B96" s="117"/>
      <c r="C96" s="117"/>
      <c r="D96" s="117"/>
      <c r="E96" s="120">
        <f>SUM(B96:D96)</f>
        <v>0</v>
      </c>
      <c r="F96" s="117"/>
      <c r="G96" s="117"/>
      <c r="H96" s="120">
        <f>SUM(F96:G96)</f>
        <v>0</v>
      </c>
      <c r="I96" s="117"/>
      <c r="J96" s="117"/>
      <c r="K96" s="117"/>
      <c r="L96" s="117"/>
      <c r="M96" s="117"/>
      <c r="N96" s="117"/>
      <c r="O96" s="120">
        <f>SUM(I96:N96)</f>
        <v>0</v>
      </c>
      <c r="P96" s="117"/>
      <c r="Q96" s="117"/>
      <c r="R96" s="117"/>
      <c r="S96" s="117"/>
      <c r="T96" s="117"/>
      <c r="U96" s="117"/>
      <c r="V96" s="117"/>
      <c r="W96" s="117"/>
      <c r="X96" s="120">
        <f t="shared" si="39"/>
        <v>0</v>
      </c>
      <c r="Y96" s="117"/>
      <c r="Z96" s="117">
        <f>Y96*iét!$D$226</f>
        <v>0</v>
      </c>
      <c r="AA96" s="117">
        <f>Y96*iét!$D$227</f>
        <v>0</v>
      </c>
      <c r="AB96" s="117">
        <f>Y96*iét!$D$228</f>
        <v>0</v>
      </c>
      <c r="AC96" s="117">
        <f>Y96*iét!$D$229</f>
        <v>0</v>
      </c>
      <c r="AD96" s="120">
        <f t="shared" si="42"/>
        <v>0</v>
      </c>
      <c r="AE96" s="117"/>
      <c r="AF96" s="117"/>
      <c r="AG96" s="120">
        <f>SUM(AE96:AF96)</f>
        <v>0</v>
      </c>
      <c r="AH96" s="131">
        <f t="shared" si="40"/>
        <v>0</v>
      </c>
    </row>
    <row r="97" spans="1:34" ht="12">
      <c r="A97" s="115" t="s">
        <v>1324</v>
      </c>
      <c r="B97" s="117"/>
      <c r="C97" s="117"/>
      <c r="D97" s="117"/>
      <c r="E97" s="120">
        <f>SUM(B97:D97)</f>
        <v>0</v>
      </c>
      <c r="F97" s="117"/>
      <c r="G97" s="117"/>
      <c r="H97" s="120">
        <f>SUM(F97:G97)</f>
        <v>0</v>
      </c>
      <c r="I97" s="117"/>
      <c r="J97" s="117"/>
      <c r="K97" s="117"/>
      <c r="L97" s="117"/>
      <c r="M97" s="117"/>
      <c r="N97" s="117"/>
      <c r="O97" s="120">
        <f>SUM(I97:N97)</f>
        <v>0</v>
      </c>
      <c r="P97" s="117"/>
      <c r="Q97" s="117"/>
      <c r="R97" s="117"/>
      <c r="S97" s="117"/>
      <c r="T97" s="117"/>
      <c r="U97" s="117"/>
      <c r="V97" s="117"/>
      <c r="W97" s="117"/>
      <c r="X97" s="120">
        <f t="shared" si="39"/>
        <v>0</v>
      </c>
      <c r="Y97" s="117"/>
      <c r="Z97" s="117">
        <f>Y97*iét!$D$226</f>
        <v>0</v>
      </c>
      <c r="AA97" s="117">
        <f>Y97*iét!$D$227</f>
        <v>0</v>
      </c>
      <c r="AB97" s="117">
        <f>Y97*iét!$D$228</f>
        <v>0</v>
      </c>
      <c r="AC97" s="117">
        <f>Y97*iét!$D$229</f>
        <v>0</v>
      </c>
      <c r="AD97" s="120">
        <f t="shared" si="42"/>
        <v>0</v>
      </c>
      <c r="AE97" s="117"/>
      <c r="AF97" s="117"/>
      <c r="AG97" s="120">
        <f>SUM(AE97:AF97)</f>
        <v>0</v>
      </c>
      <c r="AH97" s="131">
        <f t="shared" si="40"/>
        <v>0</v>
      </c>
    </row>
    <row r="98" spans="1:34" ht="12">
      <c r="A98" s="121" t="s">
        <v>1325</v>
      </c>
      <c r="B98" s="122">
        <f aca="true" t="shared" si="51" ref="B98:AH98">SUM(B94:B97)</f>
        <v>0</v>
      </c>
      <c r="C98" s="122"/>
      <c r="D98" s="122">
        <f t="shared" si="51"/>
        <v>0</v>
      </c>
      <c r="E98" s="122">
        <f t="shared" si="51"/>
        <v>0</v>
      </c>
      <c r="F98" s="122">
        <f>SUM(F94:F97)</f>
        <v>0</v>
      </c>
      <c r="G98" s="122">
        <f t="shared" si="51"/>
        <v>0</v>
      </c>
      <c r="H98" s="122">
        <f t="shared" si="51"/>
        <v>0</v>
      </c>
      <c r="I98" s="122">
        <f t="shared" si="51"/>
        <v>0</v>
      </c>
      <c r="J98" s="122">
        <f t="shared" si="51"/>
        <v>0</v>
      </c>
      <c r="K98" s="122">
        <f t="shared" si="51"/>
        <v>0</v>
      </c>
      <c r="L98" s="122">
        <f t="shared" si="51"/>
        <v>0</v>
      </c>
      <c r="M98" s="122">
        <f t="shared" si="51"/>
        <v>0</v>
      </c>
      <c r="N98" s="122">
        <f t="shared" si="51"/>
        <v>0</v>
      </c>
      <c r="O98" s="122">
        <f t="shared" si="51"/>
        <v>0</v>
      </c>
      <c r="P98" s="122">
        <f t="shared" si="51"/>
        <v>0</v>
      </c>
      <c r="Q98" s="122">
        <f t="shared" si="51"/>
        <v>0</v>
      </c>
      <c r="R98" s="122">
        <f t="shared" si="51"/>
        <v>0</v>
      </c>
      <c r="S98" s="122">
        <f t="shared" si="51"/>
        <v>0</v>
      </c>
      <c r="T98" s="122">
        <f>SUM(T94:T97)</f>
        <v>0</v>
      </c>
      <c r="U98" s="122">
        <f>SUM(U94:U97)</f>
        <v>0</v>
      </c>
      <c r="V98" s="122">
        <f>SUM(V94:V97)</f>
        <v>0</v>
      </c>
      <c r="W98" s="122">
        <f>SUM(W94:W97)</f>
        <v>0</v>
      </c>
      <c r="X98" s="122">
        <f t="shared" si="51"/>
        <v>0</v>
      </c>
      <c r="Y98" s="122">
        <f t="shared" si="51"/>
        <v>0</v>
      </c>
      <c r="Z98" s="122">
        <f t="shared" si="51"/>
        <v>0</v>
      </c>
      <c r="AA98" s="122">
        <f t="shared" si="51"/>
        <v>0</v>
      </c>
      <c r="AB98" s="122">
        <f t="shared" si="51"/>
        <v>0</v>
      </c>
      <c r="AC98" s="122">
        <f>SUM(AC94:AC97)</f>
        <v>0</v>
      </c>
      <c r="AD98" s="122">
        <f>SUM(AD94:AD97)</f>
        <v>0</v>
      </c>
      <c r="AE98" s="122">
        <f t="shared" si="51"/>
        <v>0</v>
      </c>
      <c r="AF98" s="122">
        <f t="shared" si="51"/>
        <v>0</v>
      </c>
      <c r="AG98" s="122">
        <f t="shared" si="51"/>
        <v>0</v>
      </c>
      <c r="AH98" s="122">
        <f t="shared" si="51"/>
        <v>0</v>
      </c>
    </row>
    <row r="99" spans="1:34" ht="12">
      <c r="A99" s="115" t="s">
        <v>1326</v>
      </c>
      <c r="B99" s="117">
        <v>0</v>
      </c>
      <c r="C99" s="117"/>
      <c r="D99" s="117"/>
      <c r="E99" s="120">
        <f>SUM(B99:D99)</f>
        <v>0</v>
      </c>
      <c r="F99" s="117"/>
      <c r="G99" s="117"/>
      <c r="H99" s="120">
        <f>SUM(F99:G99)</f>
        <v>0</v>
      </c>
      <c r="I99" s="117"/>
      <c r="J99" s="117"/>
      <c r="K99" s="117"/>
      <c r="L99" s="117"/>
      <c r="M99" s="117"/>
      <c r="N99" s="117"/>
      <c r="O99" s="120">
        <f>SUM(I99:N99)</f>
        <v>0</v>
      </c>
      <c r="P99" s="117"/>
      <c r="Q99" s="117"/>
      <c r="R99" s="117"/>
      <c r="S99" s="117"/>
      <c r="T99" s="117"/>
      <c r="U99" s="117"/>
      <c r="V99" s="117"/>
      <c r="W99" s="117"/>
      <c r="X99" s="120">
        <f t="shared" si="39"/>
        <v>0</v>
      </c>
      <c r="Y99" s="117"/>
      <c r="Z99" s="117">
        <f>Y99*iét!$D$226</f>
        <v>0</v>
      </c>
      <c r="AA99" s="117">
        <f>Y99*iét!$D$227</f>
        <v>0</v>
      </c>
      <c r="AB99" s="117">
        <f>Y99*iét!$D$228</f>
        <v>0</v>
      </c>
      <c r="AC99" s="117">
        <f>Y99*iét!$D$229</f>
        <v>0</v>
      </c>
      <c r="AD99" s="120">
        <f t="shared" si="42"/>
        <v>0</v>
      </c>
      <c r="AE99" s="117"/>
      <c r="AF99" s="117"/>
      <c r="AG99" s="120">
        <f>SUM(AE99:AF99)</f>
        <v>0</v>
      </c>
      <c r="AH99" s="131">
        <f t="shared" si="40"/>
        <v>0</v>
      </c>
    </row>
    <row r="100" spans="1:34" ht="12">
      <c r="A100" s="115" t="s">
        <v>1327</v>
      </c>
      <c r="B100" s="117"/>
      <c r="C100" s="117"/>
      <c r="D100" s="117"/>
      <c r="E100" s="120">
        <f>SUM(B100:D100)</f>
        <v>0</v>
      </c>
      <c r="F100" s="117"/>
      <c r="G100" s="117"/>
      <c r="H100" s="120">
        <f>SUM(F100:G100)</f>
        <v>0</v>
      </c>
      <c r="I100" s="117"/>
      <c r="J100" s="117"/>
      <c r="K100" s="117"/>
      <c r="L100" s="117"/>
      <c r="M100" s="117"/>
      <c r="N100" s="117"/>
      <c r="O100" s="120">
        <f>SUM(I100:N100)</f>
        <v>0</v>
      </c>
      <c r="P100" s="117"/>
      <c r="Q100" s="117"/>
      <c r="R100" s="117"/>
      <c r="S100" s="117"/>
      <c r="T100" s="117"/>
      <c r="U100" s="117"/>
      <c r="V100" s="117"/>
      <c r="W100" s="117"/>
      <c r="X100" s="120">
        <f t="shared" si="39"/>
        <v>0</v>
      </c>
      <c r="Y100" s="117"/>
      <c r="Z100" s="117">
        <f>Y100*iét!$D$226</f>
        <v>0</v>
      </c>
      <c r="AA100" s="117">
        <f>Y100*iét!$D$227</f>
        <v>0</v>
      </c>
      <c r="AB100" s="117">
        <f>Y100*iét!$D$228</f>
        <v>0</v>
      </c>
      <c r="AC100" s="117">
        <f>Y100*iét!$D$229</f>
        <v>0</v>
      </c>
      <c r="AD100" s="120">
        <f t="shared" si="42"/>
        <v>0</v>
      </c>
      <c r="AE100" s="117"/>
      <c r="AF100" s="117"/>
      <c r="AG100" s="120">
        <f>SUM(AE100:AF100)</f>
        <v>0</v>
      </c>
      <c r="AH100" s="131">
        <f t="shared" si="40"/>
        <v>0</v>
      </c>
    </row>
    <row r="101" spans="1:34" ht="12">
      <c r="A101" s="115" t="s">
        <v>1328</v>
      </c>
      <c r="B101" s="117">
        <f>hiv!D165</f>
        <v>500</v>
      </c>
      <c r="C101" s="117"/>
      <c r="D101" s="117"/>
      <c r="E101" s="120">
        <f>SUM(B101:D101)</f>
        <v>500</v>
      </c>
      <c r="F101" s="117"/>
      <c r="G101" s="117"/>
      <c r="H101" s="120">
        <f>SUM(F101:G101)</f>
        <v>0</v>
      </c>
      <c r="I101" s="117"/>
      <c r="J101" s="117"/>
      <c r="K101" s="117"/>
      <c r="L101" s="117"/>
      <c r="M101" s="117"/>
      <c r="N101" s="117"/>
      <c r="O101" s="120">
        <f>SUM(I101:N101)</f>
        <v>0</v>
      </c>
      <c r="P101" s="117"/>
      <c r="Q101" s="117"/>
      <c r="R101" s="117"/>
      <c r="S101" s="117"/>
      <c r="T101" s="117"/>
      <c r="U101" s="117"/>
      <c r="V101" s="117"/>
      <c r="W101" s="117"/>
      <c r="X101" s="120">
        <f t="shared" si="39"/>
        <v>0</v>
      </c>
      <c r="Y101" s="117"/>
      <c r="Z101" s="117">
        <f>Y101*iét!$D$226</f>
        <v>0</v>
      </c>
      <c r="AA101" s="117">
        <f>Y101*iét!$D$227</f>
        <v>0</v>
      </c>
      <c r="AB101" s="117">
        <f>Y101*iét!$D$228</f>
        <v>0</v>
      </c>
      <c r="AC101" s="117">
        <f>Y101*iét!$D$229</f>
        <v>0</v>
      </c>
      <c r="AD101" s="120">
        <f t="shared" si="42"/>
        <v>0</v>
      </c>
      <c r="AE101" s="117"/>
      <c r="AF101" s="117"/>
      <c r="AG101" s="120">
        <f>SUM(AE101:AF101)</f>
        <v>0</v>
      </c>
      <c r="AH101" s="131">
        <f t="shared" si="40"/>
        <v>500</v>
      </c>
    </row>
    <row r="102" spans="1:34" ht="12">
      <c r="A102" s="121" t="s">
        <v>1328</v>
      </c>
      <c r="B102" s="122">
        <f aca="true" t="shared" si="52" ref="B102:AH102">SUM(B99:B101)</f>
        <v>500</v>
      </c>
      <c r="C102" s="122"/>
      <c r="D102" s="122">
        <f t="shared" si="52"/>
        <v>0</v>
      </c>
      <c r="E102" s="122">
        <f t="shared" si="52"/>
        <v>500</v>
      </c>
      <c r="F102" s="122">
        <f>SUM(F99:F101)</f>
        <v>0</v>
      </c>
      <c r="G102" s="122">
        <f t="shared" si="52"/>
        <v>0</v>
      </c>
      <c r="H102" s="122">
        <f t="shared" si="52"/>
        <v>0</v>
      </c>
      <c r="I102" s="122">
        <f t="shared" si="52"/>
        <v>0</v>
      </c>
      <c r="J102" s="122">
        <f t="shared" si="52"/>
        <v>0</v>
      </c>
      <c r="K102" s="122">
        <f t="shared" si="52"/>
        <v>0</v>
      </c>
      <c r="L102" s="122">
        <f t="shared" si="52"/>
        <v>0</v>
      </c>
      <c r="M102" s="122">
        <f t="shared" si="52"/>
        <v>0</v>
      </c>
      <c r="N102" s="122">
        <f t="shared" si="52"/>
        <v>0</v>
      </c>
      <c r="O102" s="122">
        <f t="shared" si="52"/>
        <v>0</v>
      </c>
      <c r="P102" s="122">
        <f t="shared" si="52"/>
        <v>0</v>
      </c>
      <c r="Q102" s="122">
        <f t="shared" si="52"/>
        <v>0</v>
      </c>
      <c r="R102" s="122">
        <f t="shared" si="52"/>
        <v>0</v>
      </c>
      <c r="S102" s="122">
        <f t="shared" si="52"/>
        <v>0</v>
      </c>
      <c r="T102" s="122">
        <f>SUM(T99:T101)</f>
        <v>0</v>
      </c>
      <c r="U102" s="122">
        <f>SUM(U99:U101)</f>
        <v>0</v>
      </c>
      <c r="V102" s="122">
        <f>SUM(V99:V101)</f>
        <v>0</v>
      </c>
      <c r="W102" s="122">
        <f>SUM(W99:W101)</f>
        <v>0</v>
      </c>
      <c r="X102" s="122">
        <f t="shared" si="52"/>
        <v>0</v>
      </c>
      <c r="Y102" s="122">
        <f t="shared" si="52"/>
        <v>0</v>
      </c>
      <c r="Z102" s="122">
        <f t="shared" si="52"/>
        <v>0</v>
      </c>
      <c r="AA102" s="122">
        <f t="shared" si="52"/>
        <v>0</v>
      </c>
      <c r="AB102" s="122">
        <f t="shared" si="52"/>
        <v>0</v>
      </c>
      <c r="AC102" s="122">
        <f>SUM(AC99:AC101)</f>
        <v>0</v>
      </c>
      <c r="AD102" s="122">
        <f>SUM(AD99:AD101)</f>
        <v>0</v>
      </c>
      <c r="AE102" s="122">
        <f t="shared" si="52"/>
        <v>0</v>
      </c>
      <c r="AF102" s="122">
        <f t="shared" si="52"/>
        <v>0</v>
      </c>
      <c r="AG102" s="122">
        <f t="shared" si="52"/>
        <v>0</v>
      </c>
      <c r="AH102" s="122">
        <f t="shared" si="52"/>
        <v>500</v>
      </c>
    </row>
    <row r="103" spans="1:34" ht="12">
      <c r="A103" s="115" t="s">
        <v>1329</v>
      </c>
      <c r="B103" s="117">
        <f>hiv!D171</f>
        <v>2035</v>
      </c>
      <c r="C103" s="117"/>
      <c r="D103" s="117"/>
      <c r="E103" s="120">
        <f>SUM(B103:D103)</f>
        <v>2035</v>
      </c>
      <c r="F103" s="117"/>
      <c r="G103" s="117"/>
      <c r="H103" s="120">
        <f>SUM(F103:G103)</f>
        <v>0</v>
      </c>
      <c r="I103" s="117"/>
      <c r="J103" s="117"/>
      <c r="K103" s="117"/>
      <c r="L103" s="117"/>
      <c r="M103" s="117"/>
      <c r="N103" s="117"/>
      <c r="O103" s="120">
        <f>SUM(I103:N103)</f>
        <v>0</v>
      </c>
      <c r="P103" s="117"/>
      <c r="Q103" s="117"/>
      <c r="R103" s="117"/>
      <c r="S103" s="117"/>
      <c r="T103" s="117"/>
      <c r="U103" s="117"/>
      <c r="V103" s="117"/>
      <c r="W103" s="117"/>
      <c r="X103" s="120">
        <f>SUM(P103:W103)</f>
        <v>0</v>
      </c>
      <c r="Y103" s="117"/>
      <c r="Z103" s="117">
        <f>Y103*iét!$D$226</f>
        <v>0</v>
      </c>
      <c r="AA103" s="117">
        <f>Y103*iét!$D$227</f>
        <v>0</v>
      </c>
      <c r="AB103" s="117">
        <f>Y103*iét!$D$228</f>
        <v>0</v>
      </c>
      <c r="AC103" s="117">
        <f>Y103*iét!$D$229</f>
        <v>0</v>
      </c>
      <c r="AD103" s="120">
        <f t="shared" si="42"/>
        <v>0</v>
      </c>
      <c r="AE103" s="117"/>
      <c r="AF103" s="117"/>
      <c r="AG103" s="120">
        <f>SUM(AE103:AF103)</f>
        <v>0</v>
      </c>
      <c r="AH103" s="131">
        <f t="shared" si="40"/>
        <v>2035</v>
      </c>
    </row>
    <row r="104" spans="1:34" ht="12">
      <c r="A104" s="115" t="s">
        <v>1330</v>
      </c>
      <c r="B104" s="117"/>
      <c r="C104" s="117"/>
      <c r="D104" s="117"/>
      <c r="E104" s="120">
        <f>SUM(B104:D104)</f>
        <v>0</v>
      </c>
      <c r="F104" s="117"/>
      <c r="G104" s="117"/>
      <c r="H104" s="120">
        <f>SUM(F104:G104)</f>
        <v>0</v>
      </c>
      <c r="I104" s="117"/>
      <c r="J104" s="117"/>
      <c r="K104" s="117"/>
      <c r="L104" s="117"/>
      <c r="M104" s="117"/>
      <c r="N104" s="117"/>
      <c r="O104" s="120">
        <f>SUM(I104:N104)</f>
        <v>0</v>
      </c>
      <c r="P104" s="117"/>
      <c r="Q104" s="117"/>
      <c r="R104" s="117"/>
      <c r="S104" s="117"/>
      <c r="T104" s="117"/>
      <c r="U104" s="117"/>
      <c r="V104" s="117"/>
      <c r="W104" s="117"/>
      <c r="X104" s="120">
        <f>SUM(P104:W104)</f>
        <v>0</v>
      </c>
      <c r="Y104" s="117"/>
      <c r="Z104" s="117">
        <f>Y104*iét!$D$226</f>
        <v>0</v>
      </c>
      <c r="AA104" s="117">
        <f>Y104*iét!$D$227</f>
        <v>0</v>
      </c>
      <c r="AB104" s="117">
        <f>Y104*iét!$D$228</f>
        <v>0</v>
      </c>
      <c r="AC104" s="117">
        <f>Y104*iét!$D$229</f>
        <v>0</v>
      </c>
      <c r="AD104" s="120">
        <f t="shared" si="42"/>
        <v>0</v>
      </c>
      <c r="AE104" s="117"/>
      <c r="AF104" s="117"/>
      <c r="AG104" s="120">
        <f>SUM(AE104:AF104)</f>
        <v>0</v>
      </c>
      <c r="AH104" s="131">
        <f t="shared" si="40"/>
        <v>0</v>
      </c>
    </row>
    <row r="105" spans="1:34" ht="12">
      <c r="A105" s="121" t="s">
        <v>1331</v>
      </c>
      <c r="B105" s="122">
        <f aca="true" t="shared" si="53" ref="B105:AH105">SUM(B103:B104)</f>
        <v>2035</v>
      </c>
      <c r="C105" s="122"/>
      <c r="D105" s="122">
        <f t="shared" si="53"/>
        <v>0</v>
      </c>
      <c r="E105" s="122">
        <f t="shared" si="53"/>
        <v>2035</v>
      </c>
      <c r="F105" s="122">
        <f t="shared" si="53"/>
        <v>0</v>
      </c>
      <c r="G105" s="122">
        <f t="shared" si="53"/>
        <v>0</v>
      </c>
      <c r="H105" s="122">
        <f t="shared" si="53"/>
        <v>0</v>
      </c>
      <c r="I105" s="122">
        <f t="shared" si="53"/>
        <v>0</v>
      </c>
      <c r="J105" s="122">
        <f t="shared" si="53"/>
        <v>0</v>
      </c>
      <c r="K105" s="122">
        <f t="shared" si="53"/>
        <v>0</v>
      </c>
      <c r="L105" s="122">
        <f t="shared" si="53"/>
        <v>0</v>
      </c>
      <c r="M105" s="122">
        <f t="shared" si="53"/>
        <v>0</v>
      </c>
      <c r="N105" s="122">
        <f t="shared" si="53"/>
        <v>0</v>
      </c>
      <c r="O105" s="122">
        <f t="shared" si="53"/>
        <v>0</v>
      </c>
      <c r="P105" s="122">
        <f t="shared" si="53"/>
        <v>0</v>
      </c>
      <c r="Q105" s="122">
        <f t="shared" si="53"/>
        <v>0</v>
      </c>
      <c r="R105" s="122">
        <f t="shared" si="53"/>
        <v>0</v>
      </c>
      <c r="S105" s="122">
        <f t="shared" si="53"/>
        <v>0</v>
      </c>
      <c r="T105" s="122">
        <f>SUM(T103:T104)</f>
        <v>0</v>
      </c>
      <c r="U105" s="122">
        <f>SUM(U103:U104)</f>
        <v>0</v>
      </c>
      <c r="V105" s="122">
        <f>SUM(V103:V104)</f>
        <v>0</v>
      </c>
      <c r="W105" s="122">
        <f>SUM(W103:W104)</f>
        <v>0</v>
      </c>
      <c r="X105" s="122">
        <f t="shared" si="53"/>
        <v>0</v>
      </c>
      <c r="Y105" s="122">
        <f t="shared" si="53"/>
        <v>0</v>
      </c>
      <c r="Z105" s="122">
        <f t="shared" si="53"/>
        <v>0</v>
      </c>
      <c r="AA105" s="122">
        <f t="shared" si="53"/>
        <v>0</v>
      </c>
      <c r="AB105" s="122">
        <f t="shared" si="53"/>
        <v>0</v>
      </c>
      <c r="AC105" s="122">
        <f>SUM(AC103:AC104)</f>
        <v>0</v>
      </c>
      <c r="AD105" s="122">
        <f>SUM(AD103:AD104)</f>
        <v>0</v>
      </c>
      <c r="AE105" s="122">
        <f t="shared" si="53"/>
        <v>0</v>
      </c>
      <c r="AF105" s="122">
        <f t="shared" si="53"/>
        <v>0</v>
      </c>
      <c r="AG105" s="122">
        <f t="shared" si="53"/>
        <v>0</v>
      </c>
      <c r="AH105" s="122">
        <f t="shared" si="53"/>
        <v>2035</v>
      </c>
    </row>
    <row r="106" spans="1:34" ht="12">
      <c r="A106" s="116" t="s">
        <v>1332</v>
      </c>
      <c r="B106" s="118">
        <f aca="true" t="shared" si="54" ref="B106:AH106">B98+B102+B105</f>
        <v>2535</v>
      </c>
      <c r="C106" s="118"/>
      <c r="D106" s="118">
        <f t="shared" si="54"/>
        <v>0</v>
      </c>
      <c r="E106" s="118">
        <f t="shared" si="54"/>
        <v>2535</v>
      </c>
      <c r="F106" s="118">
        <f t="shared" si="54"/>
        <v>0</v>
      </c>
      <c r="G106" s="118">
        <f t="shared" si="54"/>
        <v>0</v>
      </c>
      <c r="H106" s="118">
        <f t="shared" si="54"/>
        <v>0</v>
      </c>
      <c r="I106" s="118">
        <f t="shared" si="54"/>
        <v>0</v>
      </c>
      <c r="J106" s="118">
        <f t="shared" si="54"/>
        <v>0</v>
      </c>
      <c r="K106" s="118">
        <f t="shared" si="54"/>
        <v>0</v>
      </c>
      <c r="L106" s="118">
        <f t="shared" si="54"/>
        <v>0</v>
      </c>
      <c r="M106" s="118">
        <f t="shared" si="54"/>
        <v>0</v>
      </c>
      <c r="N106" s="118">
        <f t="shared" si="54"/>
        <v>0</v>
      </c>
      <c r="O106" s="118">
        <f t="shared" si="54"/>
        <v>0</v>
      </c>
      <c r="P106" s="118">
        <f t="shared" si="54"/>
        <v>0</v>
      </c>
      <c r="Q106" s="118">
        <f t="shared" si="54"/>
        <v>0</v>
      </c>
      <c r="R106" s="118">
        <f t="shared" si="54"/>
        <v>0</v>
      </c>
      <c r="S106" s="118">
        <f t="shared" si="54"/>
        <v>0</v>
      </c>
      <c r="T106" s="118">
        <f>T98+T102+T105</f>
        <v>0</v>
      </c>
      <c r="U106" s="118">
        <f>U98+U102+U105</f>
        <v>0</v>
      </c>
      <c r="V106" s="118">
        <f>V98+V102+V105</f>
        <v>0</v>
      </c>
      <c r="W106" s="118">
        <f>W98+W102+W105</f>
        <v>0</v>
      </c>
      <c r="X106" s="118">
        <f t="shared" si="54"/>
        <v>0</v>
      </c>
      <c r="Y106" s="118">
        <f t="shared" si="54"/>
        <v>0</v>
      </c>
      <c r="Z106" s="118">
        <f t="shared" si="54"/>
        <v>0</v>
      </c>
      <c r="AA106" s="118">
        <f t="shared" si="54"/>
        <v>0</v>
      </c>
      <c r="AB106" s="118">
        <f t="shared" si="54"/>
        <v>0</v>
      </c>
      <c r="AC106" s="118">
        <f>AC98+AC102+AC105</f>
        <v>0</v>
      </c>
      <c r="AD106" s="118">
        <f>AD98+AD102+AD105</f>
        <v>0</v>
      </c>
      <c r="AE106" s="118">
        <f t="shared" si="54"/>
        <v>0</v>
      </c>
      <c r="AF106" s="118">
        <f t="shared" si="54"/>
        <v>0</v>
      </c>
      <c r="AG106" s="118">
        <f t="shared" si="54"/>
        <v>0</v>
      </c>
      <c r="AH106" s="118">
        <f t="shared" si="54"/>
        <v>2535</v>
      </c>
    </row>
    <row r="107" spans="1:34" ht="12">
      <c r="A107" s="136" t="s">
        <v>1333</v>
      </c>
      <c r="B107" s="137">
        <f aca="true" t="shared" si="55" ref="B107:AH107">B93+B106</f>
        <v>7218</v>
      </c>
      <c r="C107" s="137"/>
      <c r="D107" s="137">
        <f t="shared" si="55"/>
        <v>1300</v>
      </c>
      <c r="E107" s="137">
        <f t="shared" si="55"/>
        <v>8518</v>
      </c>
      <c r="F107" s="137">
        <f t="shared" si="55"/>
        <v>3528</v>
      </c>
      <c r="G107" s="137">
        <f t="shared" si="55"/>
        <v>1188</v>
      </c>
      <c r="H107" s="137">
        <f t="shared" si="55"/>
        <v>4716</v>
      </c>
      <c r="I107" s="137">
        <f t="shared" si="55"/>
        <v>0</v>
      </c>
      <c r="J107" s="137">
        <f t="shared" si="55"/>
        <v>168</v>
      </c>
      <c r="K107" s="137">
        <f t="shared" si="55"/>
        <v>90</v>
      </c>
      <c r="L107" s="137">
        <f t="shared" si="55"/>
        <v>2040</v>
      </c>
      <c r="M107" s="137">
        <f t="shared" si="55"/>
        <v>1800</v>
      </c>
      <c r="N107" s="137">
        <f t="shared" si="55"/>
        <v>0</v>
      </c>
      <c r="O107" s="137">
        <f t="shared" si="55"/>
        <v>4098</v>
      </c>
      <c r="P107" s="137">
        <f t="shared" si="55"/>
        <v>0</v>
      </c>
      <c r="Q107" s="137">
        <f t="shared" si="55"/>
        <v>0</v>
      </c>
      <c r="R107" s="137">
        <f t="shared" si="55"/>
        <v>381</v>
      </c>
      <c r="S107" s="137">
        <f t="shared" si="55"/>
        <v>0</v>
      </c>
      <c r="T107" s="137">
        <f>T93+T106</f>
        <v>0</v>
      </c>
      <c r="U107" s="137">
        <f>U93+U106</f>
        <v>0</v>
      </c>
      <c r="V107" s="137">
        <f>V93+V106</f>
        <v>0</v>
      </c>
      <c r="W107" s="137">
        <f>W93+W106</f>
        <v>0</v>
      </c>
      <c r="X107" s="137">
        <f t="shared" si="55"/>
        <v>381</v>
      </c>
      <c r="Y107" s="137">
        <f t="shared" si="55"/>
        <v>5032</v>
      </c>
      <c r="Z107" s="137">
        <f t="shared" si="55"/>
        <v>1022.342292755582</v>
      </c>
      <c r="AA107" s="137">
        <f t="shared" si="55"/>
        <v>3131.3696474271287</v>
      </c>
      <c r="AB107" s="137">
        <f t="shared" si="55"/>
        <v>878.2880598172893</v>
      </c>
      <c r="AC107" s="137">
        <f>AC93+AC106</f>
        <v>0</v>
      </c>
      <c r="AD107" s="137">
        <f>AD93+AD106</f>
        <v>5032</v>
      </c>
      <c r="AE107" s="137">
        <f t="shared" si="55"/>
        <v>0</v>
      </c>
      <c r="AF107" s="137">
        <f t="shared" si="55"/>
        <v>1037</v>
      </c>
      <c r="AG107" s="137">
        <f t="shared" si="55"/>
        <v>1037</v>
      </c>
      <c r="AH107" s="137">
        <f t="shared" si="55"/>
        <v>23782</v>
      </c>
    </row>
    <row r="108" spans="1:34" ht="12">
      <c r="A108" s="115" t="s">
        <v>1334</v>
      </c>
      <c r="B108" s="117"/>
      <c r="C108" s="117"/>
      <c r="D108" s="117"/>
      <c r="E108" s="120">
        <f aca="true" t="shared" si="56" ref="E108:E126">SUM(B108:D108)</f>
        <v>0</v>
      </c>
      <c r="F108" s="117"/>
      <c r="G108" s="117"/>
      <c r="H108" s="120">
        <f aca="true" t="shared" si="57" ref="H108:H126">SUM(F108:G108)</f>
        <v>0</v>
      </c>
      <c r="I108" s="117"/>
      <c r="J108" s="117"/>
      <c r="K108" s="117"/>
      <c r="L108" s="117"/>
      <c r="M108" s="117"/>
      <c r="N108" s="117"/>
      <c r="O108" s="120">
        <f aca="true" t="shared" si="58" ref="O108:O126">SUM(I108:N108)</f>
        <v>0</v>
      </c>
      <c r="P108" s="117"/>
      <c r="Q108" s="117"/>
      <c r="R108" s="117"/>
      <c r="S108" s="117"/>
      <c r="T108" s="117"/>
      <c r="U108" s="117"/>
      <c r="V108" s="117"/>
      <c r="W108" s="117"/>
      <c r="X108" s="120">
        <f aca="true" t="shared" si="59" ref="X108:X126">SUM(P108:W108)</f>
        <v>0</v>
      </c>
      <c r="Y108" s="117"/>
      <c r="Z108" s="117">
        <f>Y108*iét!$D$226</f>
        <v>0</v>
      </c>
      <c r="AA108" s="117">
        <f>Y108*iét!$D$227</f>
        <v>0</v>
      </c>
      <c r="AB108" s="117">
        <f>Y108*iét!$D$228</f>
        <v>0</v>
      </c>
      <c r="AC108" s="117">
        <f>Y108*iét!$D$229</f>
        <v>0</v>
      </c>
      <c r="AD108" s="120">
        <f t="shared" si="42"/>
        <v>0</v>
      </c>
      <c r="AE108" s="117">
        <f>elsz!$D$9</f>
        <v>0</v>
      </c>
      <c r="AF108" s="117"/>
      <c r="AG108" s="120">
        <f aca="true" t="shared" si="60" ref="AG108:AG126">SUM(AE108:AF108)</f>
        <v>0</v>
      </c>
      <c r="AH108" s="131">
        <f aca="true" t="shared" si="61" ref="AH108:AH128">E108+H108+O108+X108+AD108+AG108</f>
        <v>0</v>
      </c>
    </row>
    <row r="109" spans="1:34" ht="12">
      <c r="A109" s="115" t="s">
        <v>1335</v>
      </c>
      <c r="B109" s="117">
        <f>hiv!D26</f>
        <v>210</v>
      </c>
      <c r="C109" s="117"/>
      <c r="D109" s="117"/>
      <c r="E109" s="120">
        <f t="shared" si="56"/>
        <v>210</v>
      </c>
      <c r="F109" s="117"/>
      <c r="G109" s="117"/>
      <c r="H109" s="120">
        <f t="shared" si="57"/>
        <v>0</v>
      </c>
      <c r="I109" s="117"/>
      <c r="J109" s="117"/>
      <c r="K109" s="117"/>
      <c r="L109" s="117"/>
      <c r="M109" s="117"/>
      <c r="N109" s="117"/>
      <c r="O109" s="120">
        <f t="shared" si="58"/>
        <v>0</v>
      </c>
      <c r="P109" s="117"/>
      <c r="Q109" s="117"/>
      <c r="R109" s="117"/>
      <c r="S109" s="117"/>
      <c r="T109" s="117"/>
      <c r="U109" s="117"/>
      <c r="V109" s="117"/>
      <c r="W109" s="117"/>
      <c r="X109" s="120">
        <f t="shared" si="59"/>
        <v>0</v>
      </c>
      <c r="Y109" s="117"/>
      <c r="Z109" s="117">
        <f>Y109*iét!$D$226</f>
        <v>0</v>
      </c>
      <c r="AA109" s="117">
        <f>Y109*iét!$D$227</f>
        <v>0</v>
      </c>
      <c r="AB109" s="117">
        <f>Y109*iét!$D$228</f>
        <v>0</v>
      </c>
      <c r="AC109" s="117">
        <f>Y109*iét!$D$229</f>
        <v>0</v>
      </c>
      <c r="AD109" s="120">
        <f t="shared" si="42"/>
        <v>0</v>
      </c>
      <c r="AE109" s="117"/>
      <c r="AF109" s="117"/>
      <c r="AG109" s="120">
        <f t="shared" si="60"/>
        <v>0</v>
      </c>
      <c r="AH109" s="131">
        <f t="shared" si="61"/>
        <v>210</v>
      </c>
    </row>
    <row r="110" spans="1:34" ht="12">
      <c r="A110" s="115" t="s">
        <v>1336</v>
      </c>
      <c r="B110" s="117">
        <f>hiv!D19</f>
        <v>27959</v>
      </c>
      <c r="C110" s="117"/>
      <c r="D110" s="117"/>
      <c r="E110" s="120">
        <f t="shared" si="56"/>
        <v>27959</v>
      </c>
      <c r="F110" s="117"/>
      <c r="G110" s="117"/>
      <c r="H110" s="120">
        <f t="shared" si="57"/>
        <v>0</v>
      </c>
      <c r="I110" s="117"/>
      <c r="J110" s="117"/>
      <c r="K110" s="117"/>
      <c r="L110" s="117"/>
      <c r="M110" s="117"/>
      <c r="N110" s="117"/>
      <c r="O110" s="120">
        <f t="shared" si="58"/>
        <v>0</v>
      </c>
      <c r="P110" s="117"/>
      <c r="Q110" s="117">
        <f>fsp!$D$91</f>
        <v>2543</v>
      </c>
      <c r="R110" s="117"/>
      <c r="S110" s="117">
        <f>fsp!$D$201</f>
        <v>1741</v>
      </c>
      <c r="T110" s="117"/>
      <c r="U110" s="117"/>
      <c r="V110" s="117"/>
      <c r="W110" s="117"/>
      <c r="X110" s="120">
        <f t="shared" si="59"/>
        <v>4284</v>
      </c>
      <c r="Y110" s="117"/>
      <c r="Z110" s="117">
        <f>Y110*iét!$D$226</f>
        <v>0</v>
      </c>
      <c r="AA110" s="117">
        <f>Y110*iét!$D$227</f>
        <v>0</v>
      </c>
      <c r="AB110" s="117">
        <f>Y110*iét!$D$228</f>
        <v>0</v>
      </c>
      <c r="AC110" s="117">
        <f>Y110*iét!$D$229</f>
        <v>0</v>
      </c>
      <c r="AD110" s="120">
        <f t="shared" si="42"/>
        <v>0</v>
      </c>
      <c r="AE110" s="117"/>
      <c r="AF110" s="117">
        <f>elsz!$D$24</f>
        <v>45</v>
      </c>
      <c r="AG110" s="120">
        <f t="shared" si="60"/>
        <v>45</v>
      </c>
      <c r="AH110" s="131">
        <f t="shared" si="61"/>
        <v>32288</v>
      </c>
    </row>
    <row r="111" spans="1:34" ht="12">
      <c r="A111" s="115" t="s">
        <v>1337</v>
      </c>
      <c r="B111" s="117">
        <f>hiv!D30</f>
        <v>500</v>
      </c>
      <c r="C111" s="117"/>
      <c r="D111" s="117"/>
      <c r="E111" s="120">
        <f t="shared" si="56"/>
        <v>500</v>
      </c>
      <c r="F111" s="117"/>
      <c r="G111" s="117"/>
      <c r="H111" s="120">
        <f t="shared" si="57"/>
        <v>0</v>
      </c>
      <c r="I111" s="117"/>
      <c r="J111" s="117"/>
      <c r="K111" s="117"/>
      <c r="L111" s="117"/>
      <c r="M111" s="117"/>
      <c r="N111" s="117"/>
      <c r="O111" s="120">
        <f t="shared" si="58"/>
        <v>0</v>
      </c>
      <c r="P111" s="117"/>
      <c r="Q111" s="117"/>
      <c r="R111" s="117"/>
      <c r="S111" s="117"/>
      <c r="T111" s="117"/>
      <c r="U111" s="117"/>
      <c r="V111" s="117"/>
      <c r="W111" s="117"/>
      <c r="X111" s="120">
        <f t="shared" si="59"/>
        <v>0</v>
      </c>
      <c r="Y111" s="117"/>
      <c r="Z111" s="117">
        <f>Y111*iét!$D$226</f>
        <v>0</v>
      </c>
      <c r="AA111" s="117">
        <f>Y111*iét!$D$227</f>
        <v>0</v>
      </c>
      <c r="AB111" s="117">
        <f>Y111*iét!$D$228</f>
        <v>0</v>
      </c>
      <c r="AC111" s="117">
        <f>Y111*iét!$D$229</f>
        <v>0</v>
      </c>
      <c r="AD111" s="120">
        <f t="shared" si="42"/>
        <v>0</v>
      </c>
      <c r="AE111" s="117"/>
      <c r="AF111" s="117"/>
      <c r="AG111" s="120">
        <f t="shared" si="60"/>
        <v>0</v>
      </c>
      <c r="AH111" s="131">
        <f t="shared" si="61"/>
        <v>500</v>
      </c>
    </row>
    <row r="112" spans="1:34" ht="12">
      <c r="A112" s="115" t="s">
        <v>418</v>
      </c>
      <c r="B112" s="117">
        <f>hiv!D32</f>
        <v>577</v>
      </c>
      <c r="C112" s="117"/>
      <c r="D112" s="117"/>
      <c r="E112" s="120">
        <f t="shared" si="56"/>
        <v>577</v>
      </c>
      <c r="F112" s="117"/>
      <c r="G112" s="117"/>
      <c r="H112" s="120">
        <f t="shared" si="57"/>
        <v>0</v>
      </c>
      <c r="I112" s="117"/>
      <c r="J112" s="117">
        <f>teü!$D$105</f>
        <v>0</v>
      </c>
      <c r="K112" s="117"/>
      <c r="L112" s="117"/>
      <c r="M112" s="117"/>
      <c r="N112" s="117"/>
      <c r="O112" s="120">
        <f t="shared" si="58"/>
        <v>0</v>
      </c>
      <c r="P112" s="117"/>
      <c r="Q112" s="117"/>
      <c r="R112" s="117"/>
      <c r="S112" s="117">
        <f>fsp!$D$203</f>
        <v>17</v>
      </c>
      <c r="T112" s="117"/>
      <c r="U112" s="117"/>
      <c r="V112" s="117"/>
      <c r="W112" s="117"/>
      <c r="X112" s="120">
        <f t="shared" si="59"/>
        <v>17</v>
      </c>
      <c r="Y112" s="117"/>
      <c r="Z112" s="117">
        <f>Y112*iét!$D$226</f>
        <v>0</v>
      </c>
      <c r="AA112" s="117">
        <f>Y112*iét!$D$227</f>
        <v>0</v>
      </c>
      <c r="AB112" s="117">
        <f>Y112*iét!$D$228</f>
        <v>0</v>
      </c>
      <c r="AC112" s="117">
        <f>Y112*iét!$D$229</f>
        <v>0</v>
      </c>
      <c r="AD112" s="120">
        <f t="shared" si="42"/>
        <v>0</v>
      </c>
      <c r="AE112" s="117"/>
      <c r="AF112" s="117"/>
      <c r="AG112" s="120">
        <f t="shared" si="60"/>
        <v>0</v>
      </c>
      <c r="AH112" s="131">
        <f t="shared" si="61"/>
        <v>594</v>
      </c>
    </row>
    <row r="113" spans="1:34" ht="12">
      <c r="A113" s="115" t="s">
        <v>419</v>
      </c>
      <c r="B113" s="117"/>
      <c r="C113" s="117"/>
      <c r="D113" s="117"/>
      <c r="E113" s="120">
        <f t="shared" si="56"/>
        <v>0</v>
      </c>
      <c r="F113" s="117"/>
      <c r="G113" s="117"/>
      <c r="H113" s="120">
        <f t="shared" si="57"/>
        <v>0</v>
      </c>
      <c r="I113" s="117"/>
      <c r="J113" s="117"/>
      <c r="K113" s="117"/>
      <c r="L113" s="117"/>
      <c r="M113" s="117"/>
      <c r="N113" s="117"/>
      <c r="O113" s="120">
        <f t="shared" si="58"/>
        <v>0</v>
      </c>
      <c r="P113" s="117"/>
      <c r="Q113" s="117"/>
      <c r="R113" s="117"/>
      <c r="S113" s="117"/>
      <c r="T113" s="117"/>
      <c r="U113" s="117"/>
      <c r="V113" s="117"/>
      <c r="W113" s="117"/>
      <c r="X113" s="120">
        <f t="shared" si="59"/>
        <v>0</v>
      </c>
      <c r="Y113" s="117"/>
      <c r="Z113" s="117">
        <f>Y113*iét!$D$226</f>
        <v>0</v>
      </c>
      <c r="AA113" s="117">
        <f>Y113*iét!$D$227</f>
        <v>0</v>
      </c>
      <c r="AB113" s="117">
        <f>Y113*iét!$D$228</f>
        <v>0</v>
      </c>
      <c r="AC113" s="117">
        <f>Y113*iét!$D$229</f>
        <v>0</v>
      </c>
      <c r="AD113" s="120">
        <f t="shared" si="42"/>
        <v>0</v>
      </c>
      <c r="AE113" s="117"/>
      <c r="AF113" s="117"/>
      <c r="AG113" s="120">
        <f t="shared" si="60"/>
        <v>0</v>
      </c>
      <c r="AH113" s="131">
        <f t="shared" si="61"/>
        <v>0</v>
      </c>
    </row>
    <row r="114" spans="1:34" ht="12">
      <c r="A114" s="115" t="s">
        <v>420</v>
      </c>
      <c r="B114" s="117"/>
      <c r="C114" s="117"/>
      <c r="D114" s="117"/>
      <c r="E114" s="120">
        <f t="shared" si="56"/>
        <v>0</v>
      </c>
      <c r="F114" s="117"/>
      <c r="G114" s="117"/>
      <c r="H114" s="120">
        <f t="shared" si="57"/>
        <v>0</v>
      </c>
      <c r="I114" s="117"/>
      <c r="J114" s="117"/>
      <c r="K114" s="117"/>
      <c r="L114" s="117"/>
      <c r="M114" s="117"/>
      <c r="N114" s="117"/>
      <c r="O114" s="120">
        <f t="shared" si="58"/>
        <v>0</v>
      </c>
      <c r="P114" s="117"/>
      <c r="Q114" s="117"/>
      <c r="R114" s="117"/>
      <c r="S114" s="117"/>
      <c r="T114" s="117"/>
      <c r="U114" s="117"/>
      <c r="V114" s="117"/>
      <c r="W114" s="117"/>
      <c r="X114" s="120">
        <f t="shared" si="59"/>
        <v>0</v>
      </c>
      <c r="Y114" s="117"/>
      <c r="Z114" s="117">
        <f>Y114*iét!$D$226</f>
        <v>0</v>
      </c>
      <c r="AA114" s="117">
        <f>Y114*iét!$D$227</f>
        <v>0</v>
      </c>
      <c r="AB114" s="117">
        <f>Y114*iét!$D$228</f>
        <v>0</v>
      </c>
      <c r="AC114" s="117">
        <f>Y114*iét!$D$229</f>
        <v>0</v>
      </c>
      <c r="AD114" s="120">
        <f t="shared" si="42"/>
        <v>0</v>
      </c>
      <c r="AE114" s="117"/>
      <c r="AF114" s="117"/>
      <c r="AG114" s="120">
        <f t="shared" si="60"/>
        <v>0</v>
      </c>
      <c r="AH114" s="131">
        <f t="shared" si="61"/>
        <v>0</v>
      </c>
    </row>
    <row r="115" spans="1:34" ht="12">
      <c r="A115" s="115" t="s">
        <v>421</v>
      </c>
      <c r="B115" s="117">
        <v>0</v>
      </c>
      <c r="C115" s="117"/>
      <c r="D115" s="117"/>
      <c r="E115" s="120">
        <f t="shared" si="56"/>
        <v>0</v>
      </c>
      <c r="F115" s="117"/>
      <c r="G115" s="117"/>
      <c r="H115" s="120">
        <f t="shared" si="57"/>
        <v>0</v>
      </c>
      <c r="I115" s="117"/>
      <c r="J115" s="117"/>
      <c r="K115" s="117"/>
      <c r="L115" s="117"/>
      <c r="M115" s="117"/>
      <c r="N115" s="117"/>
      <c r="O115" s="120">
        <f t="shared" si="58"/>
        <v>0</v>
      </c>
      <c r="P115" s="117"/>
      <c r="Q115" s="117"/>
      <c r="R115" s="117"/>
      <c r="S115" s="117"/>
      <c r="T115" s="117"/>
      <c r="U115" s="117"/>
      <c r="V115" s="117"/>
      <c r="W115" s="117"/>
      <c r="X115" s="120">
        <f t="shared" si="59"/>
        <v>0</v>
      </c>
      <c r="Y115" s="117"/>
      <c r="Z115" s="117">
        <f>Y115*iét!$D$226</f>
        <v>0</v>
      </c>
      <c r="AA115" s="117">
        <f>Y115*iét!$D$227</f>
        <v>0</v>
      </c>
      <c r="AB115" s="117">
        <f>Y115*iét!$D$228</f>
        <v>0</v>
      </c>
      <c r="AC115" s="117">
        <f>Y115*iét!$D$229</f>
        <v>0</v>
      </c>
      <c r="AD115" s="120">
        <f t="shared" si="42"/>
        <v>0</v>
      </c>
      <c r="AE115" s="117"/>
      <c r="AF115" s="117"/>
      <c r="AG115" s="120">
        <f t="shared" si="60"/>
        <v>0</v>
      </c>
      <c r="AH115" s="131">
        <f t="shared" si="61"/>
        <v>0</v>
      </c>
    </row>
    <row r="116" spans="1:34" ht="12">
      <c r="A116" s="115" t="s">
        <v>422</v>
      </c>
      <c r="B116" s="117"/>
      <c r="C116" s="117"/>
      <c r="D116" s="117"/>
      <c r="E116" s="120">
        <f t="shared" si="56"/>
        <v>0</v>
      </c>
      <c r="F116" s="117"/>
      <c r="G116" s="117"/>
      <c r="H116" s="120">
        <f t="shared" si="57"/>
        <v>0</v>
      </c>
      <c r="I116" s="117"/>
      <c r="J116" s="117"/>
      <c r="K116" s="117"/>
      <c r="L116" s="117"/>
      <c r="M116" s="117"/>
      <c r="N116" s="117"/>
      <c r="O116" s="120">
        <f t="shared" si="58"/>
        <v>0</v>
      </c>
      <c r="P116" s="117"/>
      <c r="Q116" s="117"/>
      <c r="R116" s="117"/>
      <c r="S116" s="117"/>
      <c r="T116" s="117"/>
      <c r="U116" s="117">
        <f>fsp!D305</f>
        <v>12026</v>
      </c>
      <c r="V116" s="117"/>
      <c r="W116" s="117"/>
      <c r="X116" s="120">
        <f t="shared" si="59"/>
        <v>12026</v>
      </c>
      <c r="Y116" s="117"/>
      <c r="Z116" s="117">
        <f>Y116*iét!$D$226</f>
        <v>0</v>
      </c>
      <c r="AA116" s="117">
        <f>Y116*iét!$D$227</f>
        <v>0</v>
      </c>
      <c r="AB116" s="117">
        <f>Y116*iét!$D$228</f>
        <v>0</v>
      </c>
      <c r="AC116" s="117">
        <f>Y116*iét!$D$229</f>
        <v>0</v>
      </c>
      <c r="AD116" s="120">
        <f t="shared" si="42"/>
        <v>0</v>
      </c>
      <c r="AE116" s="117"/>
      <c r="AF116" s="117"/>
      <c r="AG116" s="120">
        <f t="shared" si="60"/>
        <v>0</v>
      </c>
      <c r="AH116" s="131">
        <f t="shared" si="61"/>
        <v>12026</v>
      </c>
    </row>
    <row r="117" spans="1:34" ht="12">
      <c r="A117" s="115" t="s">
        <v>423</v>
      </c>
      <c r="B117" s="117"/>
      <c r="C117" s="117"/>
      <c r="D117" s="117"/>
      <c r="E117" s="120">
        <f t="shared" si="56"/>
        <v>0</v>
      </c>
      <c r="F117" s="117"/>
      <c r="G117" s="117"/>
      <c r="H117" s="120">
        <f t="shared" si="57"/>
        <v>0</v>
      </c>
      <c r="I117" s="117"/>
      <c r="J117" s="117"/>
      <c r="K117" s="117"/>
      <c r="L117" s="117"/>
      <c r="M117" s="117"/>
      <c r="N117" s="117"/>
      <c r="O117" s="120">
        <f t="shared" si="58"/>
        <v>0</v>
      </c>
      <c r="P117" s="117"/>
      <c r="Q117" s="117"/>
      <c r="R117" s="117"/>
      <c r="S117" s="117"/>
      <c r="T117" s="117">
        <f>fsp!$D$227</f>
        <v>76</v>
      </c>
      <c r="U117" s="117"/>
      <c r="V117" s="117"/>
      <c r="W117" s="117"/>
      <c r="X117" s="120">
        <f t="shared" si="59"/>
        <v>76</v>
      </c>
      <c r="Y117" s="117"/>
      <c r="Z117" s="117">
        <f>Y117*iét!$D$226</f>
        <v>0</v>
      </c>
      <c r="AA117" s="117">
        <f>Y117*iét!$D$227</f>
        <v>0</v>
      </c>
      <c r="AB117" s="117">
        <f>Y117*iét!$D$228</f>
        <v>0</v>
      </c>
      <c r="AC117" s="117">
        <f>Y117*iét!$D$229</f>
        <v>0</v>
      </c>
      <c r="AD117" s="120">
        <f t="shared" si="42"/>
        <v>0</v>
      </c>
      <c r="AE117" s="117"/>
      <c r="AF117" s="117"/>
      <c r="AG117" s="120">
        <f t="shared" si="60"/>
        <v>0</v>
      </c>
      <c r="AH117" s="131">
        <f t="shared" si="61"/>
        <v>76</v>
      </c>
    </row>
    <row r="118" spans="1:34" ht="12">
      <c r="A118" s="115" t="s">
        <v>424</v>
      </c>
      <c r="B118" s="117"/>
      <c r="C118" s="117"/>
      <c r="D118" s="117"/>
      <c r="E118" s="120">
        <f t="shared" si="56"/>
        <v>0</v>
      </c>
      <c r="F118" s="117"/>
      <c r="G118" s="117"/>
      <c r="H118" s="120">
        <f t="shared" si="57"/>
        <v>0</v>
      </c>
      <c r="I118" s="117"/>
      <c r="J118" s="117"/>
      <c r="K118" s="117"/>
      <c r="L118" s="117"/>
      <c r="M118" s="117"/>
      <c r="N118" s="117"/>
      <c r="O118" s="120">
        <f t="shared" si="58"/>
        <v>0</v>
      </c>
      <c r="P118" s="117"/>
      <c r="Q118" s="117"/>
      <c r="R118" s="117"/>
      <c r="S118" s="117"/>
      <c r="T118" s="117"/>
      <c r="U118" s="117"/>
      <c r="V118" s="117"/>
      <c r="W118" s="117"/>
      <c r="X118" s="120">
        <f t="shared" si="59"/>
        <v>0</v>
      </c>
      <c r="Y118" s="117"/>
      <c r="Z118" s="117">
        <f>Y118*iét!$D$226</f>
        <v>0</v>
      </c>
      <c r="AA118" s="117">
        <f>Y118*iét!$D$227</f>
        <v>0</v>
      </c>
      <c r="AB118" s="117">
        <f>Y118*iét!$D$228</f>
        <v>0</v>
      </c>
      <c r="AC118" s="117">
        <f>Y118*iét!$D$229</f>
        <v>0</v>
      </c>
      <c r="AD118" s="120">
        <f t="shared" si="42"/>
        <v>0</v>
      </c>
      <c r="AE118" s="117"/>
      <c r="AF118" s="117"/>
      <c r="AG118" s="120">
        <f t="shared" si="60"/>
        <v>0</v>
      </c>
      <c r="AH118" s="131">
        <f t="shared" si="61"/>
        <v>0</v>
      </c>
    </row>
    <row r="119" spans="1:34" ht="12">
      <c r="A119" s="115" t="s">
        <v>425</v>
      </c>
      <c r="B119" s="117"/>
      <c r="C119" s="117"/>
      <c r="D119" s="117"/>
      <c r="E119" s="120">
        <f t="shared" si="56"/>
        <v>0</v>
      </c>
      <c r="F119" s="117"/>
      <c r="G119" s="117"/>
      <c r="H119" s="120">
        <f t="shared" si="57"/>
        <v>0</v>
      </c>
      <c r="I119" s="117"/>
      <c r="J119" s="117"/>
      <c r="K119" s="117"/>
      <c r="L119" s="117"/>
      <c r="M119" s="117"/>
      <c r="N119" s="117"/>
      <c r="O119" s="120">
        <f t="shared" si="58"/>
        <v>0</v>
      </c>
      <c r="P119" s="117"/>
      <c r="Q119" s="117"/>
      <c r="R119" s="117"/>
      <c r="S119" s="117"/>
      <c r="T119" s="117">
        <f>fsp!$D$258</f>
        <v>2516</v>
      </c>
      <c r="U119" s="117"/>
      <c r="V119" s="117"/>
      <c r="W119" s="117"/>
      <c r="X119" s="120">
        <f t="shared" si="59"/>
        <v>2516</v>
      </c>
      <c r="Y119" s="117"/>
      <c r="Z119" s="117">
        <f>Y119*iét!$D$226</f>
        <v>0</v>
      </c>
      <c r="AA119" s="117">
        <f>Y119*iét!$D$227</f>
        <v>0</v>
      </c>
      <c r="AB119" s="117">
        <f>Y119*iét!$D$228</f>
        <v>0</v>
      </c>
      <c r="AC119" s="117">
        <f>Y119*iét!$D$229</f>
        <v>0</v>
      </c>
      <c r="AD119" s="120">
        <f t="shared" si="42"/>
        <v>0</v>
      </c>
      <c r="AE119" s="117"/>
      <c r="AF119" s="117"/>
      <c r="AG119" s="120">
        <f t="shared" si="60"/>
        <v>0</v>
      </c>
      <c r="AH119" s="131">
        <f t="shared" si="61"/>
        <v>2516</v>
      </c>
    </row>
    <row r="120" spans="1:34" ht="12">
      <c r="A120" s="115" t="s">
        <v>426</v>
      </c>
      <c r="B120" s="117"/>
      <c r="C120" s="117"/>
      <c r="D120" s="117"/>
      <c r="E120" s="120">
        <f t="shared" si="56"/>
        <v>0</v>
      </c>
      <c r="F120" s="117"/>
      <c r="G120" s="117"/>
      <c r="H120" s="120">
        <f t="shared" si="57"/>
        <v>0</v>
      </c>
      <c r="I120" s="117"/>
      <c r="J120" s="117"/>
      <c r="K120" s="117"/>
      <c r="L120" s="117"/>
      <c r="M120" s="117"/>
      <c r="N120" s="117"/>
      <c r="O120" s="120">
        <f t="shared" si="58"/>
        <v>0</v>
      </c>
      <c r="P120" s="117"/>
      <c r="Q120" s="117"/>
      <c r="R120" s="117"/>
      <c r="S120" s="117"/>
      <c r="T120" s="117">
        <f>fsp!$D$273</f>
        <v>2585</v>
      </c>
      <c r="U120" s="117"/>
      <c r="V120" s="117"/>
      <c r="W120" s="117"/>
      <c r="X120" s="120">
        <f t="shared" si="59"/>
        <v>2585</v>
      </c>
      <c r="Y120" s="117"/>
      <c r="Z120" s="117">
        <f>Y120*iét!$D$226</f>
        <v>0</v>
      </c>
      <c r="AA120" s="117">
        <f>Y120*iét!$D$227</f>
        <v>0</v>
      </c>
      <c r="AB120" s="117">
        <f>Y120*iét!$D$228</f>
        <v>0</v>
      </c>
      <c r="AC120" s="117">
        <f>Y120*iét!$D$229</f>
        <v>0</v>
      </c>
      <c r="AD120" s="120">
        <f t="shared" si="42"/>
        <v>0</v>
      </c>
      <c r="AE120" s="117"/>
      <c r="AF120" s="117"/>
      <c r="AG120" s="120">
        <f t="shared" si="60"/>
        <v>0</v>
      </c>
      <c r="AH120" s="131">
        <f t="shared" si="61"/>
        <v>2585</v>
      </c>
    </row>
    <row r="121" spans="1:34" ht="12">
      <c r="A121" s="115" t="s">
        <v>427</v>
      </c>
      <c r="B121" s="117"/>
      <c r="C121" s="117"/>
      <c r="D121" s="117"/>
      <c r="E121" s="120">
        <f t="shared" si="56"/>
        <v>0</v>
      </c>
      <c r="F121" s="117"/>
      <c r="G121" s="117"/>
      <c r="H121" s="120">
        <f t="shared" si="57"/>
        <v>0</v>
      </c>
      <c r="I121" s="117"/>
      <c r="J121" s="117"/>
      <c r="K121" s="117"/>
      <c r="L121" s="117"/>
      <c r="M121" s="117"/>
      <c r="N121" s="117"/>
      <c r="O121" s="120">
        <f t="shared" si="58"/>
        <v>0</v>
      </c>
      <c r="P121" s="117"/>
      <c r="Q121" s="117"/>
      <c r="R121" s="117"/>
      <c r="S121" s="117"/>
      <c r="T121" s="117">
        <f>fsp!$D$284</f>
        <v>2476</v>
      </c>
      <c r="U121" s="117"/>
      <c r="V121" s="117"/>
      <c r="W121" s="117"/>
      <c r="X121" s="120">
        <f t="shared" si="59"/>
        <v>2476</v>
      </c>
      <c r="Y121" s="117"/>
      <c r="Z121" s="117">
        <f>Y121*iét!$D$226</f>
        <v>0</v>
      </c>
      <c r="AA121" s="117">
        <f>Y121*iét!$D$227</f>
        <v>0</v>
      </c>
      <c r="AB121" s="117">
        <f>Y121*iét!$D$228</f>
        <v>0</v>
      </c>
      <c r="AC121" s="117">
        <f>Y121*iét!$D$229</f>
        <v>0</v>
      </c>
      <c r="AD121" s="120">
        <f t="shared" si="42"/>
        <v>0</v>
      </c>
      <c r="AE121" s="117"/>
      <c r="AF121" s="117"/>
      <c r="AG121" s="120">
        <f t="shared" si="60"/>
        <v>0</v>
      </c>
      <c r="AH121" s="131">
        <f t="shared" si="61"/>
        <v>2476</v>
      </c>
    </row>
    <row r="122" spans="1:34" ht="12">
      <c r="A122" s="115" t="s">
        <v>428</v>
      </c>
      <c r="B122" s="117"/>
      <c r="C122" s="117"/>
      <c r="D122" s="117"/>
      <c r="E122" s="120">
        <f t="shared" si="56"/>
        <v>0</v>
      </c>
      <c r="F122" s="117"/>
      <c r="G122" s="117"/>
      <c r="H122" s="120">
        <f t="shared" si="57"/>
        <v>0</v>
      </c>
      <c r="I122" s="117"/>
      <c r="J122" s="117"/>
      <c r="K122" s="117"/>
      <c r="L122" s="117"/>
      <c r="M122" s="117"/>
      <c r="N122" s="117"/>
      <c r="O122" s="120">
        <f t="shared" si="58"/>
        <v>0</v>
      </c>
      <c r="P122" s="117"/>
      <c r="Q122" s="117"/>
      <c r="R122" s="117"/>
      <c r="S122" s="117"/>
      <c r="T122" s="117"/>
      <c r="U122" s="117"/>
      <c r="V122" s="117">
        <f>fsp!D327</f>
        <v>779</v>
      </c>
      <c r="W122" s="117"/>
      <c r="X122" s="120">
        <f t="shared" si="59"/>
        <v>779</v>
      </c>
      <c r="Y122" s="117"/>
      <c r="Z122" s="117">
        <f>Y122*iét!$D$226</f>
        <v>0</v>
      </c>
      <c r="AA122" s="117">
        <f>Y122*iét!$D$227</f>
        <v>0</v>
      </c>
      <c r="AB122" s="117">
        <f>Y122*iét!$D$228</f>
        <v>0</v>
      </c>
      <c r="AC122" s="117">
        <f>Y122*iét!$D$229</f>
        <v>0</v>
      </c>
      <c r="AD122" s="120">
        <f t="shared" si="42"/>
        <v>0</v>
      </c>
      <c r="AE122" s="117"/>
      <c r="AF122" s="117"/>
      <c r="AG122" s="120">
        <f t="shared" si="60"/>
        <v>0</v>
      </c>
      <c r="AH122" s="131">
        <f t="shared" si="61"/>
        <v>779</v>
      </c>
    </row>
    <row r="123" spans="1:34" ht="12">
      <c r="A123" s="115" t="s">
        <v>429</v>
      </c>
      <c r="B123" s="117"/>
      <c r="C123" s="117"/>
      <c r="D123" s="117"/>
      <c r="E123" s="120">
        <f t="shared" si="56"/>
        <v>0</v>
      </c>
      <c r="F123" s="117"/>
      <c r="G123" s="117"/>
      <c r="H123" s="120">
        <f t="shared" si="57"/>
        <v>0</v>
      </c>
      <c r="I123" s="117"/>
      <c r="J123" s="117"/>
      <c r="K123" s="117"/>
      <c r="L123" s="117"/>
      <c r="M123" s="117"/>
      <c r="N123" s="117"/>
      <c r="O123" s="120">
        <f t="shared" si="58"/>
        <v>0</v>
      </c>
      <c r="P123" s="117"/>
      <c r="Q123" s="117"/>
      <c r="R123" s="117"/>
      <c r="S123" s="117"/>
      <c r="T123" s="117"/>
      <c r="U123" s="117"/>
      <c r="V123" s="117">
        <f>fsp!D330</f>
        <v>150</v>
      </c>
      <c r="W123" s="117"/>
      <c r="X123" s="120">
        <f t="shared" si="59"/>
        <v>150</v>
      </c>
      <c r="Y123" s="117"/>
      <c r="Z123" s="117">
        <f>Y123*iét!$D$226</f>
        <v>0</v>
      </c>
      <c r="AA123" s="117">
        <f>Y123*iét!$D$227</f>
        <v>0</v>
      </c>
      <c r="AB123" s="117">
        <f>Y123*iét!$D$228</f>
        <v>0</v>
      </c>
      <c r="AC123" s="117">
        <f>Y123*iét!$D$229</f>
        <v>0</v>
      </c>
      <c r="AD123" s="120">
        <f t="shared" si="42"/>
        <v>0</v>
      </c>
      <c r="AE123" s="117"/>
      <c r="AF123" s="117"/>
      <c r="AG123" s="120">
        <f t="shared" si="60"/>
        <v>0</v>
      </c>
      <c r="AH123" s="131">
        <f t="shared" si="61"/>
        <v>150</v>
      </c>
    </row>
    <row r="124" spans="1:34" ht="12">
      <c r="A124" s="115" t="s">
        <v>430</v>
      </c>
      <c r="B124" s="117"/>
      <c r="C124" s="117"/>
      <c r="D124" s="117"/>
      <c r="E124" s="120">
        <f t="shared" si="56"/>
        <v>0</v>
      </c>
      <c r="F124" s="117"/>
      <c r="G124" s="117"/>
      <c r="H124" s="120">
        <f t="shared" si="57"/>
        <v>0</v>
      </c>
      <c r="I124" s="117"/>
      <c r="J124" s="117"/>
      <c r="K124" s="117"/>
      <c r="L124" s="117"/>
      <c r="M124" s="117"/>
      <c r="N124" s="117"/>
      <c r="O124" s="120">
        <f t="shared" si="58"/>
        <v>0</v>
      </c>
      <c r="P124" s="117"/>
      <c r="Q124" s="117"/>
      <c r="R124" s="117"/>
      <c r="S124" s="117"/>
      <c r="T124" s="117"/>
      <c r="U124" s="117"/>
      <c r="V124" s="117">
        <f>fsp!D331</f>
        <v>30</v>
      </c>
      <c r="W124" s="117"/>
      <c r="X124" s="120">
        <f t="shared" si="59"/>
        <v>30</v>
      </c>
      <c r="Y124" s="117"/>
      <c r="Z124" s="117">
        <f>Y124*iét!$D$226</f>
        <v>0</v>
      </c>
      <c r="AA124" s="117">
        <f>Y124*iét!$D$227</f>
        <v>0</v>
      </c>
      <c r="AB124" s="117">
        <f>Y124*iét!$D$228</f>
        <v>0</v>
      </c>
      <c r="AC124" s="117">
        <f>Y124*iét!$D$229</f>
        <v>0</v>
      </c>
      <c r="AD124" s="120">
        <f t="shared" si="42"/>
        <v>0</v>
      </c>
      <c r="AE124" s="117"/>
      <c r="AF124" s="117"/>
      <c r="AG124" s="120">
        <f t="shared" si="60"/>
        <v>0</v>
      </c>
      <c r="AH124" s="131">
        <f t="shared" si="61"/>
        <v>30</v>
      </c>
    </row>
    <row r="125" spans="1:34" ht="12">
      <c r="A125" s="115" t="s">
        <v>431</v>
      </c>
      <c r="B125" s="117"/>
      <c r="C125" s="117"/>
      <c r="D125" s="117"/>
      <c r="E125" s="120">
        <f t="shared" si="56"/>
        <v>0</v>
      </c>
      <c r="F125" s="117"/>
      <c r="G125" s="117"/>
      <c r="H125" s="120">
        <f t="shared" si="57"/>
        <v>0</v>
      </c>
      <c r="I125" s="117"/>
      <c r="J125" s="117"/>
      <c r="K125" s="117"/>
      <c r="L125" s="117"/>
      <c r="M125" s="117"/>
      <c r="N125" s="117"/>
      <c r="O125" s="120">
        <f t="shared" si="58"/>
        <v>0</v>
      </c>
      <c r="P125" s="117"/>
      <c r="Q125" s="117"/>
      <c r="R125" s="117"/>
      <c r="S125" s="117"/>
      <c r="T125" s="117"/>
      <c r="U125" s="117"/>
      <c r="V125" s="117">
        <f>fsp!D355</f>
        <v>791</v>
      </c>
      <c r="W125" s="117"/>
      <c r="X125" s="120">
        <f t="shared" si="59"/>
        <v>791</v>
      </c>
      <c r="Y125" s="117"/>
      <c r="Z125" s="117">
        <f>Y125*iét!$D$226</f>
        <v>0</v>
      </c>
      <c r="AA125" s="117">
        <f>Y125*iét!$D$227</f>
        <v>0</v>
      </c>
      <c r="AB125" s="117">
        <f>Y125*iét!$D$228</f>
        <v>0</v>
      </c>
      <c r="AC125" s="117">
        <f>Y125*iét!$D$229</f>
        <v>0</v>
      </c>
      <c r="AD125" s="120">
        <f t="shared" si="42"/>
        <v>0</v>
      </c>
      <c r="AE125" s="117"/>
      <c r="AF125" s="117"/>
      <c r="AG125" s="120">
        <f t="shared" si="60"/>
        <v>0</v>
      </c>
      <c r="AH125" s="131">
        <f t="shared" si="61"/>
        <v>791</v>
      </c>
    </row>
    <row r="126" spans="1:34" ht="12">
      <c r="A126" s="115"/>
      <c r="B126" s="117"/>
      <c r="C126" s="117"/>
      <c r="D126" s="117"/>
      <c r="E126" s="120">
        <f t="shared" si="56"/>
        <v>0</v>
      </c>
      <c r="F126" s="117"/>
      <c r="G126" s="117"/>
      <c r="H126" s="120">
        <f t="shared" si="57"/>
        <v>0</v>
      </c>
      <c r="I126" s="117"/>
      <c r="J126" s="117"/>
      <c r="K126" s="117"/>
      <c r="L126" s="117"/>
      <c r="M126" s="117"/>
      <c r="N126" s="117"/>
      <c r="O126" s="120">
        <f t="shared" si="58"/>
        <v>0</v>
      </c>
      <c r="P126" s="117"/>
      <c r="Q126" s="117"/>
      <c r="R126" s="117"/>
      <c r="S126" s="117"/>
      <c r="T126" s="117"/>
      <c r="U126" s="117"/>
      <c r="V126" s="117"/>
      <c r="W126" s="117"/>
      <c r="X126" s="120">
        <f t="shared" si="59"/>
        <v>0</v>
      </c>
      <c r="Y126" s="117"/>
      <c r="Z126" s="117">
        <f>Y126*iét!$D$226</f>
        <v>0</v>
      </c>
      <c r="AA126" s="117">
        <f>Y126*iét!$D$227</f>
        <v>0</v>
      </c>
      <c r="AB126" s="117">
        <f>Y126*iét!$D$228</f>
        <v>0</v>
      </c>
      <c r="AC126" s="117">
        <f>Y126*iét!$D$229</f>
        <v>0</v>
      </c>
      <c r="AD126" s="120">
        <f t="shared" si="42"/>
        <v>0</v>
      </c>
      <c r="AE126" s="117"/>
      <c r="AF126" s="117"/>
      <c r="AG126" s="120">
        <f t="shared" si="60"/>
        <v>0</v>
      </c>
      <c r="AH126" s="131">
        <f t="shared" si="61"/>
        <v>0</v>
      </c>
    </row>
    <row r="127" spans="1:34" ht="12">
      <c r="A127" s="121" t="s">
        <v>432</v>
      </c>
      <c r="B127" s="122">
        <f aca="true" t="shared" si="62" ref="B127:AH127">SUM(B115:B126)</f>
        <v>0</v>
      </c>
      <c r="C127" s="122"/>
      <c r="D127" s="122">
        <f t="shared" si="62"/>
        <v>0</v>
      </c>
      <c r="E127" s="122">
        <f t="shared" si="62"/>
        <v>0</v>
      </c>
      <c r="F127" s="122">
        <f>SUM(F115:F126)</f>
        <v>0</v>
      </c>
      <c r="G127" s="122">
        <f t="shared" si="62"/>
        <v>0</v>
      </c>
      <c r="H127" s="122">
        <f t="shared" si="62"/>
        <v>0</v>
      </c>
      <c r="I127" s="122">
        <f t="shared" si="62"/>
        <v>0</v>
      </c>
      <c r="J127" s="122">
        <f t="shared" si="62"/>
        <v>0</v>
      </c>
      <c r="K127" s="122">
        <f t="shared" si="62"/>
        <v>0</v>
      </c>
      <c r="L127" s="122">
        <f t="shared" si="62"/>
        <v>0</v>
      </c>
      <c r="M127" s="122">
        <f t="shared" si="62"/>
        <v>0</v>
      </c>
      <c r="N127" s="122">
        <f t="shared" si="62"/>
        <v>0</v>
      </c>
      <c r="O127" s="122">
        <f t="shared" si="62"/>
        <v>0</v>
      </c>
      <c r="P127" s="122">
        <f t="shared" si="62"/>
        <v>0</v>
      </c>
      <c r="Q127" s="122">
        <f t="shared" si="62"/>
        <v>0</v>
      </c>
      <c r="R127" s="122">
        <f t="shared" si="62"/>
        <v>0</v>
      </c>
      <c r="S127" s="122">
        <f t="shared" si="62"/>
        <v>0</v>
      </c>
      <c r="T127" s="122">
        <f>SUM(T115:T126)</f>
        <v>7653</v>
      </c>
      <c r="U127" s="122">
        <f>SUM(U115:U126)</f>
        <v>12026</v>
      </c>
      <c r="V127" s="122">
        <f>SUM(V115:V126)</f>
        <v>1750</v>
      </c>
      <c r="W127" s="122">
        <f>SUM(W115:W126)</f>
        <v>0</v>
      </c>
      <c r="X127" s="122">
        <f t="shared" si="62"/>
        <v>21429</v>
      </c>
      <c r="Y127" s="122">
        <f t="shared" si="62"/>
        <v>0</v>
      </c>
      <c r="Z127" s="122">
        <f t="shared" si="62"/>
        <v>0</v>
      </c>
      <c r="AA127" s="122">
        <f t="shared" si="62"/>
        <v>0</v>
      </c>
      <c r="AB127" s="122">
        <f t="shared" si="62"/>
        <v>0</v>
      </c>
      <c r="AC127" s="122">
        <f>SUM(AC115:AC126)</f>
        <v>0</v>
      </c>
      <c r="AD127" s="122">
        <f>SUM(AD115:AD126)</f>
        <v>0</v>
      </c>
      <c r="AE127" s="122">
        <f t="shared" si="62"/>
        <v>0</v>
      </c>
      <c r="AF127" s="122">
        <f t="shared" si="62"/>
        <v>0</v>
      </c>
      <c r="AG127" s="122">
        <f t="shared" si="62"/>
        <v>0</v>
      </c>
      <c r="AH127" s="122">
        <f t="shared" si="62"/>
        <v>21429</v>
      </c>
    </row>
    <row r="128" spans="1:34" ht="12">
      <c r="A128" s="115" t="s">
        <v>433</v>
      </c>
      <c r="B128" s="117"/>
      <c r="C128" s="117"/>
      <c r="D128" s="117"/>
      <c r="E128" s="120">
        <f>SUM(B128:D128)</f>
        <v>0</v>
      </c>
      <c r="F128" s="117"/>
      <c r="G128" s="117"/>
      <c r="H128" s="120">
        <f>SUM(F128:G128)</f>
        <v>0</v>
      </c>
      <c r="I128" s="117"/>
      <c r="J128" s="117"/>
      <c r="K128" s="117"/>
      <c r="L128" s="117"/>
      <c r="M128" s="117"/>
      <c r="N128" s="117"/>
      <c r="O128" s="120">
        <f>SUM(I128:N128)</f>
        <v>0</v>
      </c>
      <c r="P128" s="117"/>
      <c r="Q128" s="117"/>
      <c r="R128" s="117"/>
      <c r="S128" s="117"/>
      <c r="T128" s="117"/>
      <c r="U128" s="117"/>
      <c r="V128" s="117"/>
      <c r="W128" s="117"/>
      <c r="X128" s="120">
        <f>SUM(P128:W128)</f>
        <v>0</v>
      </c>
      <c r="Y128" s="117"/>
      <c r="Z128" s="117">
        <f>Y128*iét!$D$226</f>
        <v>0</v>
      </c>
      <c r="AA128" s="117">
        <f>Y128*iét!$D$227</f>
        <v>0</v>
      </c>
      <c r="AB128" s="117">
        <f>Y128*iét!$D$228</f>
        <v>0</v>
      </c>
      <c r="AC128" s="117">
        <f>Y128*iét!$D$229</f>
        <v>0</v>
      </c>
      <c r="AD128" s="120">
        <f t="shared" si="42"/>
        <v>0</v>
      </c>
      <c r="AE128" s="117"/>
      <c r="AF128" s="117"/>
      <c r="AG128" s="120">
        <f>SUM(AE128:AF128)</f>
        <v>0</v>
      </c>
      <c r="AH128" s="131">
        <f t="shared" si="61"/>
        <v>0</v>
      </c>
    </row>
    <row r="129" spans="1:34" ht="12">
      <c r="A129" s="116" t="s">
        <v>434</v>
      </c>
      <c r="B129" s="118">
        <f aca="true" t="shared" si="63" ref="B129:AH129">B113+B114+B127+B128</f>
        <v>0</v>
      </c>
      <c r="C129" s="118"/>
      <c r="D129" s="118">
        <f t="shared" si="63"/>
        <v>0</v>
      </c>
      <c r="E129" s="118">
        <f t="shared" si="63"/>
        <v>0</v>
      </c>
      <c r="F129" s="118">
        <f t="shared" si="63"/>
        <v>0</v>
      </c>
      <c r="G129" s="118">
        <f t="shared" si="63"/>
        <v>0</v>
      </c>
      <c r="H129" s="118">
        <f t="shared" si="63"/>
        <v>0</v>
      </c>
      <c r="I129" s="118">
        <f t="shared" si="63"/>
        <v>0</v>
      </c>
      <c r="J129" s="118">
        <f t="shared" si="63"/>
        <v>0</v>
      </c>
      <c r="K129" s="118">
        <f t="shared" si="63"/>
        <v>0</v>
      </c>
      <c r="L129" s="118">
        <f t="shared" si="63"/>
        <v>0</v>
      </c>
      <c r="M129" s="118">
        <f t="shared" si="63"/>
        <v>0</v>
      </c>
      <c r="N129" s="118">
        <f t="shared" si="63"/>
        <v>0</v>
      </c>
      <c r="O129" s="118">
        <f t="shared" si="63"/>
        <v>0</v>
      </c>
      <c r="P129" s="118">
        <f t="shared" si="63"/>
        <v>0</v>
      </c>
      <c r="Q129" s="118">
        <f t="shared" si="63"/>
        <v>0</v>
      </c>
      <c r="R129" s="118">
        <f t="shared" si="63"/>
        <v>0</v>
      </c>
      <c r="S129" s="118">
        <f t="shared" si="63"/>
        <v>0</v>
      </c>
      <c r="T129" s="118">
        <f t="shared" si="63"/>
        <v>7653</v>
      </c>
      <c r="U129" s="118">
        <f>U113+U114+U127+U128</f>
        <v>12026</v>
      </c>
      <c r="V129" s="118">
        <f>V113+V114+V127+V128</f>
        <v>1750</v>
      </c>
      <c r="W129" s="118">
        <f>W113+W114+W127+W128</f>
        <v>0</v>
      </c>
      <c r="X129" s="118">
        <f t="shared" si="63"/>
        <v>21429</v>
      </c>
      <c r="Y129" s="118">
        <f t="shared" si="63"/>
        <v>0</v>
      </c>
      <c r="Z129" s="118">
        <f t="shared" si="63"/>
        <v>0</v>
      </c>
      <c r="AA129" s="118">
        <f t="shared" si="63"/>
        <v>0</v>
      </c>
      <c r="AB129" s="118">
        <f t="shared" si="63"/>
        <v>0</v>
      </c>
      <c r="AC129" s="118">
        <f>AC113+AC114+AC127+AC128</f>
        <v>0</v>
      </c>
      <c r="AD129" s="118">
        <f>AD113+AD114+AD127+AD128</f>
        <v>0</v>
      </c>
      <c r="AE129" s="118">
        <f t="shared" si="63"/>
        <v>0</v>
      </c>
      <c r="AF129" s="118">
        <f t="shared" si="63"/>
        <v>0</v>
      </c>
      <c r="AG129" s="118">
        <f t="shared" si="63"/>
        <v>0</v>
      </c>
      <c r="AH129" s="118">
        <f t="shared" si="63"/>
        <v>21429</v>
      </c>
    </row>
    <row r="130" spans="1:34" ht="12">
      <c r="A130" s="136" t="s">
        <v>435</v>
      </c>
      <c r="B130" s="137">
        <f aca="true" t="shared" si="64" ref="B130:AH130">B109+B110+B111+B112+B129</f>
        <v>29246</v>
      </c>
      <c r="C130" s="137"/>
      <c r="D130" s="137">
        <f t="shared" si="64"/>
        <v>0</v>
      </c>
      <c r="E130" s="137">
        <f t="shared" si="64"/>
        <v>29246</v>
      </c>
      <c r="F130" s="137">
        <f t="shared" si="64"/>
        <v>0</v>
      </c>
      <c r="G130" s="137">
        <f t="shared" si="64"/>
        <v>0</v>
      </c>
      <c r="H130" s="137">
        <f t="shared" si="64"/>
        <v>0</v>
      </c>
      <c r="I130" s="137">
        <f t="shared" si="64"/>
        <v>0</v>
      </c>
      <c r="J130" s="137">
        <f t="shared" si="64"/>
        <v>0</v>
      </c>
      <c r="K130" s="137">
        <f t="shared" si="64"/>
        <v>0</v>
      </c>
      <c r="L130" s="137">
        <f t="shared" si="64"/>
        <v>0</v>
      </c>
      <c r="M130" s="137">
        <f t="shared" si="64"/>
        <v>0</v>
      </c>
      <c r="N130" s="137">
        <f t="shared" si="64"/>
        <v>0</v>
      </c>
      <c r="O130" s="137">
        <f t="shared" si="64"/>
        <v>0</v>
      </c>
      <c r="P130" s="137">
        <f t="shared" si="64"/>
        <v>0</v>
      </c>
      <c r="Q130" s="137">
        <f t="shared" si="64"/>
        <v>2543</v>
      </c>
      <c r="R130" s="137">
        <f t="shared" si="64"/>
        <v>0</v>
      </c>
      <c r="S130" s="137">
        <f t="shared" si="64"/>
        <v>1758</v>
      </c>
      <c r="T130" s="137">
        <f t="shared" si="64"/>
        <v>7653</v>
      </c>
      <c r="U130" s="137">
        <f>U109+U110+U111+U112+U129</f>
        <v>12026</v>
      </c>
      <c r="V130" s="137">
        <f>V109+V110+V111+V112+V129</f>
        <v>1750</v>
      </c>
      <c r="W130" s="137">
        <f>W109+W110+W111+W112+W129</f>
        <v>0</v>
      </c>
      <c r="X130" s="137">
        <f t="shared" si="64"/>
        <v>25730</v>
      </c>
      <c r="Y130" s="137">
        <f t="shared" si="64"/>
        <v>0</v>
      </c>
      <c r="Z130" s="137">
        <f t="shared" si="64"/>
        <v>0</v>
      </c>
      <c r="AA130" s="137">
        <f t="shared" si="64"/>
        <v>0</v>
      </c>
      <c r="AB130" s="137">
        <f t="shared" si="64"/>
        <v>0</v>
      </c>
      <c r="AC130" s="137">
        <f>AC109+AC110+AC111+AC112+AC129</f>
        <v>0</v>
      </c>
      <c r="AD130" s="137">
        <f>AD109+AD110+AD111+AD112+AD129</f>
        <v>0</v>
      </c>
      <c r="AE130" s="137">
        <f t="shared" si="64"/>
        <v>0</v>
      </c>
      <c r="AF130" s="137">
        <f t="shared" si="64"/>
        <v>45</v>
      </c>
      <c r="AG130" s="137">
        <f t="shared" si="64"/>
        <v>45</v>
      </c>
      <c r="AH130" s="137">
        <f t="shared" si="64"/>
        <v>55021</v>
      </c>
    </row>
    <row r="131" spans="1:34" ht="12">
      <c r="A131" s="115"/>
      <c r="B131" s="117">
        <v>0</v>
      </c>
      <c r="C131" s="117"/>
      <c r="D131" s="117"/>
      <c r="E131" s="120">
        <f>SUM(B131:D131)</f>
        <v>0</v>
      </c>
      <c r="F131" s="117">
        <f>isk!D97</f>
        <v>0</v>
      </c>
      <c r="G131" s="117"/>
      <c r="H131" s="120">
        <f>SUM(F131:G131)</f>
        <v>0</v>
      </c>
      <c r="I131" s="117"/>
      <c r="J131" s="117"/>
      <c r="K131" s="117"/>
      <c r="L131" s="117"/>
      <c r="M131" s="117"/>
      <c r="N131" s="117"/>
      <c r="O131" s="120">
        <f>SUM(I131:N131)</f>
        <v>0</v>
      </c>
      <c r="P131" s="117"/>
      <c r="Q131" s="117"/>
      <c r="R131" s="117"/>
      <c r="S131" s="117"/>
      <c r="T131" s="117"/>
      <c r="U131" s="117"/>
      <c r="V131" s="117"/>
      <c r="W131" s="117"/>
      <c r="X131" s="120">
        <f>SUM(P131:W131)</f>
        <v>0</v>
      </c>
      <c r="Y131" s="117"/>
      <c r="Z131" s="117">
        <f>Y131*iét!$D$226</f>
        <v>0</v>
      </c>
      <c r="AA131" s="117">
        <f>Y131*iét!$D$227</f>
        <v>0</v>
      </c>
      <c r="AB131" s="117">
        <f>Y131*iét!$D$228</f>
        <v>0</v>
      </c>
      <c r="AC131" s="117">
        <f>Y131*iét!$D$229</f>
        <v>0</v>
      </c>
      <c r="AD131" s="120">
        <f aca="true" t="shared" si="65" ref="AD131:AD158">SUM(Z131:AC131)</f>
        <v>0</v>
      </c>
      <c r="AE131" s="117"/>
      <c r="AF131" s="117">
        <f>elsz!D114</f>
        <v>0</v>
      </c>
      <c r="AG131" s="120">
        <f>SUM(AE131:AF131)</f>
        <v>0</v>
      </c>
      <c r="AH131" s="131">
        <f>E131+H131+O131+X131+AD131+AG131</f>
        <v>0</v>
      </c>
    </row>
    <row r="132" spans="1:34" ht="12">
      <c r="A132" s="115">
        <f>elsz!A114</f>
        <v>0</v>
      </c>
      <c r="B132" s="117"/>
      <c r="C132" s="117"/>
      <c r="D132" s="117"/>
      <c r="E132" s="120">
        <f>SUM(B132:D132)</f>
        <v>0</v>
      </c>
      <c r="F132" s="117"/>
      <c r="G132" s="117"/>
      <c r="H132" s="120">
        <f>SUM(F132:G132)</f>
        <v>0</v>
      </c>
      <c r="I132" s="117"/>
      <c r="J132" s="117"/>
      <c r="K132" s="117"/>
      <c r="L132" s="117"/>
      <c r="M132" s="117"/>
      <c r="N132" s="117"/>
      <c r="O132" s="120">
        <f>SUM(I132:N132)</f>
        <v>0</v>
      </c>
      <c r="P132" s="117"/>
      <c r="Q132" s="117"/>
      <c r="R132" s="117"/>
      <c r="S132" s="117"/>
      <c r="T132" s="117"/>
      <c r="U132" s="117"/>
      <c r="V132" s="117"/>
      <c r="W132" s="117"/>
      <c r="X132" s="120">
        <f>SUM(P132:W132)</f>
        <v>0</v>
      </c>
      <c r="Y132" s="117"/>
      <c r="Z132" s="117">
        <f>Y132*iét!$D$226</f>
        <v>0</v>
      </c>
      <c r="AA132" s="117">
        <f>Y132*iét!$D$227</f>
        <v>0</v>
      </c>
      <c r="AB132" s="117">
        <f>Y132*iét!$D$228</f>
        <v>0</v>
      </c>
      <c r="AC132" s="117">
        <f>Y132*iét!$D$229</f>
        <v>0</v>
      </c>
      <c r="AD132" s="120">
        <f t="shared" si="65"/>
        <v>0</v>
      </c>
      <c r="AE132" s="117"/>
      <c r="AF132" s="117"/>
      <c r="AG132" s="120">
        <f>SUM(AE132:AF132)</f>
        <v>0</v>
      </c>
      <c r="AH132" s="131">
        <f aca="true" t="shared" si="66" ref="AH132:AH151">E132+H132+O132+X132+AD132+AG132</f>
        <v>0</v>
      </c>
    </row>
    <row r="133" spans="1:34" ht="12">
      <c r="A133" s="115"/>
      <c r="B133" s="117"/>
      <c r="C133" s="117"/>
      <c r="D133" s="117"/>
      <c r="E133" s="120">
        <f>SUM(B133:D133)</f>
        <v>0</v>
      </c>
      <c r="F133" s="117"/>
      <c r="G133" s="117"/>
      <c r="H133" s="120">
        <f>SUM(F133:G133)</f>
        <v>0</v>
      </c>
      <c r="I133" s="117"/>
      <c r="J133" s="117"/>
      <c r="K133" s="117"/>
      <c r="L133" s="117"/>
      <c r="M133" s="117"/>
      <c r="N133" s="117"/>
      <c r="O133" s="120">
        <f>SUM(I133:N133)</f>
        <v>0</v>
      </c>
      <c r="P133" s="117"/>
      <c r="Q133" s="117"/>
      <c r="R133" s="117"/>
      <c r="S133" s="117"/>
      <c r="T133" s="117"/>
      <c r="U133" s="117"/>
      <c r="V133" s="117"/>
      <c r="W133" s="117"/>
      <c r="X133" s="120">
        <f>SUM(P133:W133)</f>
        <v>0</v>
      </c>
      <c r="Y133" s="117"/>
      <c r="Z133" s="117"/>
      <c r="AA133" s="117"/>
      <c r="AB133" s="117"/>
      <c r="AC133" s="117">
        <f>Y133*iét!$D$229</f>
        <v>0</v>
      </c>
      <c r="AD133" s="120">
        <f t="shared" si="65"/>
        <v>0</v>
      </c>
      <c r="AE133" s="117"/>
      <c r="AF133" s="117"/>
      <c r="AG133" s="120">
        <f>SUM(AE133:AF133)</f>
        <v>0</v>
      </c>
      <c r="AH133" s="131">
        <f t="shared" si="66"/>
        <v>0</v>
      </c>
    </row>
    <row r="134" spans="1:34" ht="12">
      <c r="A134" s="121" t="s">
        <v>436</v>
      </c>
      <c r="B134" s="122">
        <f aca="true" t="shared" si="67" ref="B134:AH134">SUM(B131:B133)</f>
        <v>0</v>
      </c>
      <c r="C134" s="122"/>
      <c r="D134" s="122">
        <f t="shared" si="67"/>
        <v>0</v>
      </c>
      <c r="E134" s="122">
        <f t="shared" si="67"/>
        <v>0</v>
      </c>
      <c r="F134" s="122">
        <f t="shared" si="67"/>
        <v>0</v>
      </c>
      <c r="G134" s="122">
        <f t="shared" si="67"/>
        <v>0</v>
      </c>
      <c r="H134" s="122">
        <f t="shared" si="67"/>
        <v>0</v>
      </c>
      <c r="I134" s="122">
        <f t="shared" si="67"/>
        <v>0</v>
      </c>
      <c r="J134" s="122">
        <f t="shared" si="67"/>
        <v>0</v>
      </c>
      <c r="K134" s="122">
        <f t="shared" si="67"/>
        <v>0</v>
      </c>
      <c r="L134" s="122">
        <f t="shared" si="67"/>
        <v>0</v>
      </c>
      <c r="M134" s="122">
        <f t="shared" si="67"/>
        <v>0</v>
      </c>
      <c r="N134" s="122">
        <f t="shared" si="67"/>
        <v>0</v>
      </c>
      <c r="O134" s="122">
        <f t="shared" si="67"/>
        <v>0</v>
      </c>
      <c r="P134" s="122">
        <f t="shared" si="67"/>
        <v>0</v>
      </c>
      <c r="Q134" s="122">
        <f t="shared" si="67"/>
        <v>0</v>
      </c>
      <c r="R134" s="122">
        <f t="shared" si="67"/>
        <v>0</v>
      </c>
      <c r="S134" s="122">
        <f t="shared" si="67"/>
        <v>0</v>
      </c>
      <c r="T134" s="122">
        <f t="shared" si="67"/>
        <v>0</v>
      </c>
      <c r="U134" s="122">
        <f>SUM(U131:U133)</f>
        <v>0</v>
      </c>
      <c r="V134" s="122">
        <f>SUM(V131:V133)</f>
        <v>0</v>
      </c>
      <c r="W134" s="122">
        <f>SUM(W131:W133)</f>
        <v>0</v>
      </c>
      <c r="X134" s="122">
        <f t="shared" si="67"/>
        <v>0</v>
      </c>
      <c r="Y134" s="122">
        <f t="shared" si="67"/>
        <v>0</v>
      </c>
      <c r="Z134" s="122">
        <f t="shared" si="67"/>
        <v>0</v>
      </c>
      <c r="AA134" s="122">
        <f t="shared" si="67"/>
        <v>0</v>
      </c>
      <c r="AB134" s="122">
        <f t="shared" si="67"/>
        <v>0</v>
      </c>
      <c r="AC134" s="122">
        <f>SUM(AC131:AC133)</f>
        <v>0</v>
      </c>
      <c r="AD134" s="122">
        <f>SUM(AD131:AD133)</f>
        <v>0</v>
      </c>
      <c r="AE134" s="122">
        <f t="shared" si="67"/>
        <v>0</v>
      </c>
      <c r="AF134" s="122">
        <f t="shared" si="67"/>
        <v>0</v>
      </c>
      <c r="AG134" s="122">
        <f t="shared" si="67"/>
        <v>0</v>
      </c>
      <c r="AH134" s="122">
        <f t="shared" si="67"/>
        <v>0</v>
      </c>
    </row>
    <row r="135" spans="1:34" ht="12">
      <c r="A135" s="115"/>
      <c r="B135" s="117">
        <v>0</v>
      </c>
      <c r="C135" s="117"/>
      <c r="D135" s="117"/>
      <c r="E135" s="120">
        <f>SUM(B135:D135)</f>
        <v>0</v>
      </c>
      <c r="F135" s="117">
        <f>isk!D98</f>
        <v>0</v>
      </c>
      <c r="G135" s="117"/>
      <c r="H135" s="120">
        <f>SUM(F135:G135)</f>
        <v>0</v>
      </c>
      <c r="I135" s="117"/>
      <c r="J135" s="117"/>
      <c r="K135" s="117"/>
      <c r="L135" s="117"/>
      <c r="M135" s="117"/>
      <c r="N135" s="117"/>
      <c r="O135" s="120">
        <f>SUM(I135:N135)</f>
        <v>0</v>
      </c>
      <c r="P135" s="117"/>
      <c r="Q135" s="117"/>
      <c r="R135" s="117"/>
      <c r="S135" s="117"/>
      <c r="T135" s="117"/>
      <c r="U135" s="117"/>
      <c r="V135" s="117"/>
      <c r="W135" s="117"/>
      <c r="X135" s="120">
        <f>SUM(P135:W135)</f>
        <v>0</v>
      </c>
      <c r="Y135" s="117"/>
      <c r="Z135" s="117">
        <f>Y135*iét!$D$226</f>
        <v>0</v>
      </c>
      <c r="AA135" s="117">
        <f>Y135*iét!$D$227</f>
        <v>0</v>
      </c>
      <c r="AB135" s="117">
        <f>Y135*iét!$D$228</f>
        <v>0</v>
      </c>
      <c r="AC135" s="117">
        <f>Y135*iét!$D$229</f>
        <v>0</v>
      </c>
      <c r="AD135" s="120">
        <f t="shared" si="65"/>
        <v>0</v>
      </c>
      <c r="AE135" s="117"/>
      <c r="AF135" s="117">
        <f>elsz!D115</f>
        <v>0</v>
      </c>
      <c r="AG135" s="120">
        <f>SUM(AE135:AF135)</f>
        <v>0</v>
      </c>
      <c r="AH135" s="131">
        <f t="shared" si="66"/>
        <v>0</v>
      </c>
    </row>
    <row r="136" spans="1:34" ht="12">
      <c r="A136" s="115">
        <f>elsz!A114</f>
        <v>0</v>
      </c>
      <c r="B136" s="117"/>
      <c r="C136" s="117"/>
      <c r="D136" s="117"/>
      <c r="E136" s="120">
        <f>SUM(B136:D136)</f>
        <v>0</v>
      </c>
      <c r="F136" s="117"/>
      <c r="G136" s="117"/>
      <c r="H136" s="120">
        <f>SUM(F136:G136)</f>
        <v>0</v>
      </c>
      <c r="I136" s="117"/>
      <c r="J136" s="117"/>
      <c r="K136" s="117"/>
      <c r="L136" s="117"/>
      <c r="M136" s="117"/>
      <c r="N136" s="117"/>
      <c r="O136" s="120">
        <f>SUM(I136:N136)</f>
        <v>0</v>
      </c>
      <c r="P136" s="117"/>
      <c r="Q136" s="117"/>
      <c r="R136" s="117"/>
      <c r="S136" s="117"/>
      <c r="T136" s="117"/>
      <c r="U136" s="117"/>
      <c r="V136" s="117"/>
      <c r="W136" s="117"/>
      <c r="X136" s="120">
        <f>SUM(P136:W136)</f>
        <v>0</v>
      </c>
      <c r="Y136" s="117"/>
      <c r="Z136" s="117">
        <f>Y136*iét!$D$226</f>
        <v>0</v>
      </c>
      <c r="AA136" s="117">
        <f>Y136*iét!$D$227</f>
        <v>0</v>
      </c>
      <c r="AB136" s="117">
        <f>Y136*iét!$D$228</f>
        <v>0</v>
      </c>
      <c r="AC136" s="117">
        <f>Y136*iét!$D$229</f>
        <v>0</v>
      </c>
      <c r="AD136" s="120">
        <f t="shared" si="65"/>
        <v>0</v>
      </c>
      <c r="AE136" s="117"/>
      <c r="AF136" s="117"/>
      <c r="AG136" s="120">
        <f>SUM(AE136:AF136)</f>
        <v>0</v>
      </c>
      <c r="AH136" s="131">
        <f t="shared" si="66"/>
        <v>0</v>
      </c>
    </row>
    <row r="137" spans="1:34" ht="12">
      <c r="A137" s="115"/>
      <c r="B137" s="117"/>
      <c r="C137" s="117"/>
      <c r="D137" s="117"/>
      <c r="E137" s="120">
        <f>SUM(B137:D137)</f>
        <v>0</v>
      </c>
      <c r="F137" s="117"/>
      <c r="G137" s="117"/>
      <c r="H137" s="120">
        <f>SUM(F137:G137)</f>
        <v>0</v>
      </c>
      <c r="I137" s="117"/>
      <c r="J137" s="117"/>
      <c r="K137" s="117"/>
      <c r="L137" s="117"/>
      <c r="M137" s="117"/>
      <c r="N137" s="117"/>
      <c r="O137" s="120">
        <f>SUM(I137:N137)</f>
        <v>0</v>
      </c>
      <c r="P137" s="117"/>
      <c r="Q137" s="117"/>
      <c r="R137" s="117"/>
      <c r="S137" s="117"/>
      <c r="T137" s="117"/>
      <c r="U137" s="117"/>
      <c r="V137" s="117"/>
      <c r="W137" s="117"/>
      <c r="X137" s="120">
        <f>SUM(P137:W137)</f>
        <v>0</v>
      </c>
      <c r="Y137" s="117"/>
      <c r="Z137" s="117"/>
      <c r="AA137" s="117"/>
      <c r="AB137" s="117"/>
      <c r="AC137" s="117">
        <f>Y137*iét!$D$229</f>
        <v>0</v>
      </c>
      <c r="AD137" s="120">
        <f t="shared" si="65"/>
        <v>0</v>
      </c>
      <c r="AE137" s="117"/>
      <c r="AF137" s="117"/>
      <c r="AG137" s="120">
        <f>SUM(AE137:AF137)</f>
        <v>0</v>
      </c>
      <c r="AH137" s="131">
        <f t="shared" si="66"/>
        <v>0</v>
      </c>
    </row>
    <row r="138" spans="1:34" ht="12">
      <c r="A138" s="121" t="s">
        <v>437</v>
      </c>
      <c r="B138" s="122">
        <f aca="true" t="shared" si="68" ref="B138:AH138">SUM(B135:B137)</f>
        <v>0</v>
      </c>
      <c r="C138" s="122"/>
      <c r="D138" s="122">
        <f t="shared" si="68"/>
        <v>0</v>
      </c>
      <c r="E138" s="122">
        <f t="shared" si="68"/>
        <v>0</v>
      </c>
      <c r="F138" s="122">
        <f>SUM(F135:F137)</f>
        <v>0</v>
      </c>
      <c r="G138" s="122">
        <f t="shared" si="68"/>
        <v>0</v>
      </c>
      <c r="H138" s="122">
        <f t="shared" si="68"/>
        <v>0</v>
      </c>
      <c r="I138" s="122">
        <f t="shared" si="68"/>
        <v>0</v>
      </c>
      <c r="J138" s="122">
        <f t="shared" si="68"/>
        <v>0</v>
      </c>
      <c r="K138" s="122">
        <f t="shared" si="68"/>
        <v>0</v>
      </c>
      <c r="L138" s="122">
        <f t="shared" si="68"/>
        <v>0</v>
      </c>
      <c r="M138" s="122">
        <f t="shared" si="68"/>
        <v>0</v>
      </c>
      <c r="N138" s="122">
        <f t="shared" si="68"/>
        <v>0</v>
      </c>
      <c r="O138" s="122">
        <f t="shared" si="68"/>
        <v>0</v>
      </c>
      <c r="P138" s="122">
        <f t="shared" si="68"/>
        <v>0</v>
      </c>
      <c r="Q138" s="122">
        <f t="shared" si="68"/>
        <v>0</v>
      </c>
      <c r="R138" s="122">
        <f t="shared" si="68"/>
        <v>0</v>
      </c>
      <c r="S138" s="122">
        <f t="shared" si="68"/>
        <v>0</v>
      </c>
      <c r="T138" s="122">
        <f t="shared" si="68"/>
        <v>0</v>
      </c>
      <c r="U138" s="122">
        <f>SUM(U135:U137)</f>
        <v>0</v>
      </c>
      <c r="V138" s="122">
        <f>SUM(V135:V137)</f>
        <v>0</v>
      </c>
      <c r="W138" s="122">
        <f>SUM(W135:W137)</f>
        <v>0</v>
      </c>
      <c r="X138" s="122">
        <f t="shared" si="68"/>
        <v>0</v>
      </c>
      <c r="Y138" s="122">
        <f t="shared" si="68"/>
        <v>0</v>
      </c>
      <c r="Z138" s="122">
        <f t="shared" si="68"/>
        <v>0</v>
      </c>
      <c r="AA138" s="122">
        <f t="shared" si="68"/>
        <v>0</v>
      </c>
      <c r="AB138" s="122">
        <f t="shared" si="68"/>
        <v>0</v>
      </c>
      <c r="AC138" s="122">
        <f>SUM(AC135:AC137)</f>
        <v>0</v>
      </c>
      <c r="AD138" s="122">
        <f>SUM(AD135:AD137)</f>
        <v>0</v>
      </c>
      <c r="AE138" s="122">
        <f t="shared" si="68"/>
        <v>0</v>
      </c>
      <c r="AF138" s="122">
        <f t="shared" si="68"/>
        <v>0</v>
      </c>
      <c r="AG138" s="122">
        <f t="shared" si="68"/>
        <v>0</v>
      </c>
      <c r="AH138" s="122">
        <f t="shared" si="68"/>
        <v>0</v>
      </c>
    </row>
    <row r="139" spans="1:34" ht="12">
      <c r="A139" s="115"/>
      <c r="B139" s="117">
        <v>0</v>
      </c>
      <c r="C139" s="117"/>
      <c r="D139" s="117"/>
      <c r="E139" s="120">
        <f>SUM(B139:D139)</f>
        <v>0</v>
      </c>
      <c r="F139" s="117"/>
      <c r="G139" s="117"/>
      <c r="H139" s="120">
        <f>SUM(F139:G139)</f>
        <v>0</v>
      </c>
      <c r="I139" s="117"/>
      <c r="J139" s="117"/>
      <c r="K139" s="117"/>
      <c r="L139" s="117"/>
      <c r="M139" s="117"/>
      <c r="N139" s="117"/>
      <c r="O139" s="120">
        <f>SUM(I139:N139)</f>
        <v>0</v>
      </c>
      <c r="P139" s="117"/>
      <c r="Q139" s="117"/>
      <c r="R139" s="117"/>
      <c r="S139" s="117"/>
      <c r="T139" s="117"/>
      <c r="U139" s="117"/>
      <c r="V139" s="117"/>
      <c r="W139" s="117"/>
      <c r="X139" s="120">
        <f>SUM(P139:W139)</f>
        <v>0</v>
      </c>
      <c r="Y139" s="117"/>
      <c r="Z139" s="117">
        <f>Y139*iét!$D$226</f>
        <v>0</v>
      </c>
      <c r="AA139" s="117">
        <f>Y139*iét!$D$227</f>
        <v>0</v>
      </c>
      <c r="AB139" s="117">
        <f>Y139*iét!$D$228</f>
        <v>0</v>
      </c>
      <c r="AC139" s="117">
        <f>Y139*iét!$D$229</f>
        <v>0</v>
      </c>
      <c r="AD139" s="120">
        <f t="shared" si="65"/>
        <v>0</v>
      </c>
      <c r="AE139" s="117"/>
      <c r="AF139" s="117"/>
      <c r="AG139" s="120">
        <f>SUM(AE139:AF139)</f>
        <v>0</v>
      </c>
      <c r="AH139" s="131">
        <f t="shared" si="66"/>
        <v>0</v>
      </c>
    </row>
    <row r="140" spans="1:34" ht="12">
      <c r="A140" s="115"/>
      <c r="B140" s="117"/>
      <c r="C140" s="117"/>
      <c r="D140" s="117"/>
      <c r="E140" s="120">
        <f>SUM(B140:D140)</f>
        <v>0</v>
      </c>
      <c r="F140" s="117"/>
      <c r="G140" s="117"/>
      <c r="H140" s="120">
        <f>SUM(F140:G140)</f>
        <v>0</v>
      </c>
      <c r="I140" s="117"/>
      <c r="J140" s="117"/>
      <c r="K140" s="117"/>
      <c r="L140" s="117"/>
      <c r="M140" s="117"/>
      <c r="N140" s="117"/>
      <c r="O140" s="120">
        <f>SUM(I140:N140)</f>
        <v>0</v>
      </c>
      <c r="P140" s="117"/>
      <c r="Q140" s="117"/>
      <c r="R140" s="117"/>
      <c r="S140" s="117"/>
      <c r="T140" s="117"/>
      <c r="U140" s="117"/>
      <c r="V140" s="117"/>
      <c r="W140" s="117"/>
      <c r="X140" s="120">
        <f>SUM(P140:W140)</f>
        <v>0</v>
      </c>
      <c r="Y140" s="117"/>
      <c r="Z140" s="117">
        <f>Y140*iét!$D$226</f>
        <v>0</v>
      </c>
      <c r="AA140" s="117">
        <f>Y140*iét!$D$227</f>
        <v>0</v>
      </c>
      <c r="AB140" s="117">
        <f>Y140*iét!$D$228</f>
        <v>0</v>
      </c>
      <c r="AC140" s="117">
        <f>Y140*iét!$D$229</f>
        <v>0</v>
      </c>
      <c r="AD140" s="120">
        <f t="shared" si="65"/>
        <v>0</v>
      </c>
      <c r="AE140" s="117"/>
      <c r="AF140" s="117"/>
      <c r="AG140" s="120">
        <f>SUM(AE140:AF140)</f>
        <v>0</v>
      </c>
      <c r="AH140" s="131">
        <f t="shared" si="66"/>
        <v>0</v>
      </c>
    </row>
    <row r="141" spans="1:34" ht="12">
      <c r="A141" s="115"/>
      <c r="B141" s="117"/>
      <c r="C141" s="117"/>
      <c r="D141" s="117"/>
      <c r="E141" s="120">
        <f>SUM(B141:D141)</f>
        <v>0</v>
      </c>
      <c r="F141" s="117"/>
      <c r="G141" s="117"/>
      <c r="H141" s="120">
        <f>SUM(F141:G141)</f>
        <v>0</v>
      </c>
      <c r="I141" s="117"/>
      <c r="J141" s="117"/>
      <c r="K141" s="117"/>
      <c r="L141" s="117"/>
      <c r="M141" s="117"/>
      <c r="N141" s="117"/>
      <c r="O141" s="120">
        <f>SUM(I141:N141)</f>
        <v>0</v>
      </c>
      <c r="P141" s="117"/>
      <c r="Q141" s="117"/>
      <c r="R141" s="117"/>
      <c r="S141" s="117"/>
      <c r="T141" s="117"/>
      <c r="U141" s="117"/>
      <c r="V141" s="117"/>
      <c r="W141" s="117"/>
      <c r="X141" s="120">
        <f>SUM(P141:W141)</f>
        <v>0</v>
      </c>
      <c r="Y141" s="117"/>
      <c r="Z141" s="117">
        <f>Y141*iét!$D$226</f>
        <v>0</v>
      </c>
      <c r="AA141" s="117">
        <f>Y141*iét!$D$227</f>
        <v>0</v>
      </c>
      <c r="AB141" s="117">
        <f>Y141*iét!$D$228</f>
        <v>0</v>
      </c>
      <c r="AC141" s="117">
        <f>Y141*iét!$D$229</f>
        <v>0</v>
      </c>
      <c r="AD141" s="120">
        <f t="shared" si="65"/>
        <v>0</v>
      </c>
      <c r="AE141" s="117"/>
      <c r="AF141" s="117"/>
      <c r="AG141" s="120">
        <f>SUM(AE141:AF141)</f>
        <v>0</v>
      </c>
      <c r="AH141" s="131">
        <f t="shared" si="66"/>
        <v>0</v>
      </c>
    </row>
    <row r="142" spans="1:34" ht="12">
      <c r="A142" s="115"/>
      <c r="B142" s="117"/>
      <c r="C142" s="117"/>
      <c r="D142" s="117"/>
      <c r="E142" s="120">
        <f>SUM(B142:D142)</f>
        <v>0</v>
      </c>
      <c r="F142" s="117"/>
      <c r="G142" s="117"/>
      <c r="H142" s="120">
        <f>SUM(F142:G142)</f>
        <v>0</v>
      </c>
      <c r="I142" s="117"/>
      <c r="J142" s="117"/>
      <c r="K142" s="117"/>
      <c r="L142" s="117"/>
      <c r="M142" s="117"/>
      <c r="N142" s="117"/>
      <c r="O142" s="120">
        <f>SUM(I142:N142)</f>
        <v>0</v>
      </c>
      <c r="P142" s="117"/>
      <c r="Q142" s="117"/>
      <c r="R142" s="117"/>
      <c r="S142" s="117"/>
      <c r="T142" s="117"/>
      <c r="U142" s="117"/>
      <c r="V142" s="117"/>
      <c r="W142" s="117"/>
      <c r="X142" s="120">
        <f>SUM(P142:W142)</f>
        <v>0</v>
      </c>
      <c r="Y142" s="117"/>
      <c r="Z142" s="117">
        <f>Y142*iét!$D$226</f>
        <v>0</v>
      </c>
      <c r="AA142" s="117">
        <f>Y142*iét!$D$227</f>
        <v>0</v>
      </c>
      <c r="AB142" s="117">
        <f>Y142*iét!$D$228</f>
        <v>0</v>
      </c>
      <c r="AC142" s="117">
        <f>Y142*iét!$D$229</f>
        <v>0</v>
      </c>
      <c r="AD142" s="120">
        <f t="shared" si="65"/>
        <v>0</v>
      </c>
      <c r="AE142" s="117"/>
      <c r="AF142" s="117"/>
      <c r="AG142" s="120">
        <f>SUM(AE142:AF142)</f>
        <v>0</v>
      </c>
      <c r="AH142" s="131">
        <f t="shared" si="66"/>
        <v>0</v>
      </c>
    </row>
    <row r="143" spans="1:34" ht="12">
      <c r="A143" s="121" t="s">
        <v>438</v>
      </c>
      <c r="B143" s="122">
        <f aca="true" t="shared" si="69" ref="B143:AG143">SUM(B139:B142)</f>
        <v>0</v>
      </c>
      <c r="C143" s="122"/>
      <c r="D143" s="122">
        <f t="shared" si="69"/>
        <v>0</v>
      </c>
      <c r="E143" s="122">
        <f t="shared" si="69"/>
        <v>0</v>
      </c>
      <c r="F143" s="122">
        <f t="shared" si="69"/>
        <v>0</v>
      </c>
      <c r="G143" s="122">
        <f t="shared" si="69"/>
        <v>0</v>
      </c>
      <c r="H143" s="122">
        <f t="shared" si="69"/>
        <v>0</v>
      </c>
      <c r="I143" s="122">
        <f t="shared" si="69"/>
        <v>0</v>
      </c>
      <c r="J143" s="122">
        <f t="shared" si="69"/>
        <v>0</v>
      </c>
      <c r="K143" s="122">
        <f t="shared" si="69"/>
        <v>0</v>
      </c>
      <c r="L143" s="122">
        <f t="shared" si="69"/>
        <v>0</v>
      </c>
      <c r="M143" s="122">
        <f t="shared" si="69"/>
        <v>0</v>
      </c>
      <c r="N143" s="122">
        <f t="shared" si="69"/>
        <v>0</v>
      </c>
      <c r="O143" s="122">
        <f t="shared" si="69"/>
        <v>0</v>
      </c>
      <c r="P143" s="122">
        <f t="shared" si="69"/>
        <v>0</v>
      </c>
      <c r="Q143" s="122">
        <f t="shared" si="69"/>
        <v>0</v>
      </c>
      <c r="R143" s="122">
        <f t="shared" si="69"/>
        <v>0</v>
      </c>
      <c r="S143" s="122">
        <f t="shared" si="69"/>
        <v>0</v>
      </c>
      <c r="T143" s="122">
        <f t="shared" si="69"/>
        <v>0</v>
      </c>
      <c r="U143" s="122">
        <f>SUM(U139:U142)</f>
        <v>0</v>
      </c>
      <c r="V143" s="122">
        <f>SUM(V139:V142)</f>
        <v>0</v>
      </c>
      <c r="W143" s="122">
        <f>SUM(W139:W142)</f>
        <v>0</v>
      </c>
      <c r="X143" s="122">
        <f t="shared" si="69"/>
        <v>0</v>
      </c>
      <c r="Y143" s="122">
        <f t="shared" si="69"/>
        <v>0</v>
      </c>
      <c r="Z143" s="122">
        <f t="shared" si="69"/>
        <v>0</v>
      </c>
      <c r="AA143" s="122">
        <f t="shared" si="69"/>
        <v>0</v>
      </c>
      <c r="AB143" s="122">
        <f t="shared" si="69"/>
        <v>0</v>
      </c>
      <c r="AC143" s="122">
        <f>SUM(AC139:AC142)</f>
        <v>0</v>
      </c>
      <c r="AD143" s="122">
        <f>SUM(AD139:AD142)</f>
        <v>0</v>
      </c>
      <c r="AE143" s="122">
        <f t="shared" si="69"/>
        <v>0</v>
      </c>
      <c r="AF143" s="122">
        <f t="shared" si="69"/>
        <v>0</v>
      </c>
      <c r="AG143" s="122">
        <f t="shared" si="69"/>
        <v>0</v>
      </c>
      <c r="AH143" s="122">
        <f>SUM(AH144:AH147)</f>
        <v>0</v>
      </c>
    </row>
    <row r="144" spans="1:34" ht="12">
      <c r="A144" s="115"/>
      <c r="B144" s="117">
        <v>0</v>
      </c>
      <c r="C144" s="117"/>
      <c r="D144" s="117"/>
      <c r="E144" s="120">
        <f>SUM(B144:D144)</f>
        <v>0</v>
      </c>
      <c r="F144" s="117"/>
      <c r="G144" s="117"/>
      <c r="H144" s="120">
        <f>SUM(F144:G144)</f>
        <v>0</v>
      </c>
      <c r="I144" s="117"/>
      <c r="J144" s="117"/>
      <c r="K144" s="117"/>
      <c r="L144" s="117"/>
      <c r="M144" s="117"/>
      <c r="N144" s="117"/>
      <c r="O144" s="120">
        <f>SUM(I144:N144)</f>
        <v>0</v>
      </c>
      <c r="P144" s="117"/>
      <c r="Q144" s="117"/>
      <c r="R144" s="117"/>
      <c r="S144" s="117"/>
      <c r="T144" s="117"/>
      <c r="U144" s="117"/>
      <c r="V144" s="117"/>
      <c r="W144" s="117"/>
      <c r="X144" s="120">
        <f>SUM(P144:W144)</f>
        <v>0</v>
      </c>
      <c r="Y144" s="117"/>
      <c r="Z144" s="117">
        <f>Y144*iét!$D$226</f>
        <v>0</v>
      </c>
      <c r="AA144" s="117">
        <f>Y144*iét!$D$227</f>
        <v>0</v>
      </c>
      <c r="AB144" s="117">
        <f>Y144*iét!$D$228</f>
        <v>0</v>
      </c>
      <c r="AC144" s="117">
        <f>Y144*iét!$D$229</f>
        <v>0</v>
      </c>
      <c r="AD144" s="120">
        <f t="shared" si="65"/>
        <v>0</v>
      </c>
      <c r="AE144" s="117"/>
      <c r="AF144" s="117"/>
      <c r="AG144" s="120">
        <f>SUM(AE144:AF144)</f>
        <v>0</v>
      </c>
      <c r="AH144" s="131">
        <f t="shared" si="66"/>
        <v>0</v>
      </c>
    </row>
    <row r="145" spans="1:34" ht="12">
      <c r="A145" s="115"/>
      <c r="B145" s="117"/>
      <c r="C145" s="117"/>
      <c r="D145" s="117"/>
      <c r="E145" s="120">
        <f>SUM(B145:D145)</f>
        <v>0</v>
      </c>
      <c r="F145" s="117"/>
      <c r="G145" s="117"/>
      <c r="H145" s="120">
        <f>SUM(F145:G145)</f>
        <v>0</v>
      </c>
      <c r="I145" s="117"/>
      <c r="J145" s="117"/>
      <c r="K145" s="117"/>
      <c r="L145" s="117"/>
      <c r="M145" s="117"/>
      <c r="N145" s="117"/>
      <c r="O145" s="120">
        <f>SUM(I145:N145)</f>
        <v>0</v>
      </c>
      <c r="P145" s="117"/>
      <c r="Q145" s="117"/>
      <c r="R145" s="117"/>
      <c r="S145" s="117"/>
      <c r="T145" s="117"/>
      <c r="U145" s="117"/>
      <c r="V145" s="117"/>
      <c r="W145" s="117"/>
      <c r="X145" s="120">
        <f>SUM(P145:W145)</f>
        <v>0</v>
      </c>
      <c r="Y145" s="117"/>
      <c r="Z145" s="117">
        <f>Y145*iét!$D$226</f>
        <v>0</v>
      </c>
      <c r="AA145" s="117">
        <f>Y145*iét!$D$227</f>
        <v>0</v>
      </c>
      <c r="AB145" s="117">
        <f>Y145*iét!$D$228</f>
        <v>0</v>
      </c>
      <c r="AC145" s="117">
        <f>Y145*iét!$D$229</f>
        <v>0</v>
      </c>
      <c r="AD145" s="120">
        <f t="shared" si="65"/>
        <v>0</v>
      </c>
      <c r="AE145" s="117"/>
      <c r="AF145" s="117"/>
      <c r="AG145" s="120">
        <f>SUM(AE145:AF145)</f>
        <v>0</v>
      </c>
      <c r="AH145" s="131">
        <f t="shared" si="66"/>
        <v>0</v>
      </c>
    </row>
    <row r="146" spans="1:34" ht="12">
      <c r="A146" s="115"/>
      <c r="B146" s="117"/>
      <c r="C146" s="117"/>
      <c r="D146" s="117"/>
      <c r="E146" s="120">
        <f>SUM(B146:D146)</f>
        <v>0</v>
      </c>
      <c r="F146" s="117"/>
      <c r="G146" s="117"/>
      <c r="H146" s="120">
        <f>SUM(F146:G146)</f>
        <v>0</v>
      </c>
      <c r="I146" s="117"/>
      <c r="J146" s="117"/>
      <c r="K146" s="117"/>
      <c r="L146" s="117"/>
      <c r="M146" s="117"/>
      <c r="N146" s="117"/>
      <c r="O146" s="120">
        <f>SUM(I146:N146)</f>
        <v>0</v>
      </c>
      <c r="P146" s="117"/>
      <c r="Q146" s="117"/>
      <c r="R146" s="117"/>
      <c r="S146" s="117"/>
      <c r="T146" s="117"/>
      <c r="U146" s="117"/>
      <c r="V146" s="117"/>
      <c r="W146" s="117"/>
      <c r="X146" s="120">
        <f>SUM(P146:W146)</f>
        <v>0</v>
      </c>
      <c r="Y146" s="117"/>
      <c r="Z146" s="117">
        <f>Y146*iét!$D$226</f>
        <v>0</v>
      </c>
      <c r="AA146" s="117">
        <f>Y146*iét!$D$227</f>
        <v>0</v>
      </c>
      <c r="AB146" s="117">
        <f>Y146*iét!$D$228</f>
        <v>0</v>
      </c>
      <c r="AC146" s="117">
        <f>Y146*iét!$D$229</f>
        <v>0</v>
      </c>
      <c r="AD146" s="120">
        <f t="shared" si="65"/>
        <v>0</v>
      </c>
      <c r="AE146" s="117"/>
      <c r="AF146" s="117"/>
      <c r="AG146" s="120">
        <f>SUM(AE146:AF146)</f>
        <v>0</v>
      </c>
      <c r="AH146" s="131">
        <f t="shared" si="66"/>
        <v>0</v>
      </c>
    </row>
    <row r="147" spans="1:34" ht="12">
      <c r="A147" s="115"/>
      <c r="B147" s="117"/>
      <c r="C147" s="117"/>
      <c r="D147" s="117"/>
      <c r="E147" s="120">
        <f>SUM(B147:D147)</f>
        <v>0</v>
      </c>
      <c r="F147" s="117"/>
      <c r="G147" s="117"/>
      <c r="H147" s="120">
        <f>SUM(F147:G147)</f>
        <v>0</v>
      </c>
      <c r="I147" s="117"/>
      <c r="J147" s="117"/>
      <c r="K147" s="117"/>
      <c r="L147" s="117"/>
      <c r="M147" s="117"/>
      <c r="N147" s="117"/>
      <c r="O147" s="120">
        <f>SUM(I147:N147)</f>
        <v>0</v>
      </c>
      <c r="P147" s="117"/>
      <c r="Q147" s="117"/>
      <c r="R147" s="117"/>
      <c r="S147" s="117"/>
      <c r="T147" s="117"/>
      <c r="U147" s="117"/>
      <c r="V147" s="117"/>
      <c r="W147" s="117"/>
      <c r="X147" s="120">
        <f>SUM(P147:W147)</f>
        <v>0</v>
      </c>
      <c r="Y147" s="117"/>
      <c r="Z147" s="117">
        <f>Y147*iét!$D$226</f>
        <v>0</v>
      </c>
      <c r="AA147" s="117">
        <f>Y147*iét!$D$227</f>
        <v>0</v>
      </c>
      <c r="AB147" s="117">
        <f>Y147*iét!$D$228</f>
        <v>0</v>
      </c>
      <c r="AC147" s="117">
        <f>Y147*iét!$D$229</f>
        <v>0</v>
      </c>
      <c r="AD147" s="120">
        <f t="shared" si="65"/>
        <v>0</v>
      </c>
      <c r="AE147" s="117"/>
      <c r="AF147" s="117"/>
      <c r="AG147" s="120">
        <f>SUM(AE147:AF147)</f>
        <v>0</v>
      </c>
      <c r="AH147" s="131">
        <f t="shared" si="66"/>
        <v>0</v>
      </c>
    </row>
    <row r="148" spans="1:34" ht="12">
      <c r="A148" s="121" t="s">
        <v>391</v>
      </c>
      <c r="B148" s="122">
        <f aca="true" t="shared" si="70" ref="B148:AH148">SUM(B144:B147)</f>
        <v>0</v>
      </c>
      <c r="C148" s="122"/>
      <c r="D148" s="122">
        <f t="shared" si="70"/>
        <v>0</v>
      </c>
      <c r="E148" s="122">
        <f t="shared" si="70"/>
        <v>0</v>
      </c>
      <c r="F148" s="122">
        <f t="shared" si="70"/>
        <v>0</v>
      </c>
      <c r="G148" s="122">
        <f t="shared" si="70"/>
        <v>0</v>
      </c>
      <c r="H148" s="122">
        <f t="shared" si="70"/>
        <v>0</v>
      </c>
      <c r="I148" s="122">
        <f t="shared" si="70"/>
        <v>0</v>
      </c>
      <c r="J148" s="122">
        <f t="shared" si="70"/>
        <v>0</v>
      </c>
      <c r="K148" s="122">
        <f t="shared" si="70"/>
        <v>0</v>
      </c>
      <c r="L148" s="122">
        <f t="shared" si="70"/>
        <v>0</v>
      </c>
      <c r="M148" s="122">
        <f t="shared" si="70"/>
        <v>0</v>
      </c>
      <c r="N148" s="122">
        <f t="shared" si="70"/>
        <v>0</v>
      </c>
      <c r="O148" s="122">
        <f t="shared" si="70"/>
        <v>0</v>
      </c>
      <c r="P148" s="122">
        <f t="shared" si="70"/>
        <v>0</v>
      </c>
      <c r="Q148" s="122">
        <f t="shared" si="70"/>
        <v>0</v>
      </c>
      <c r="R148" s="122">
        <f t="shared" si="70"/>
        <v>0</v>
      </c>
      <c r="S148" s="122">
        <f t="shared" si="70"/>
        <v>0</v>
      </c>
      <c r="T148" s="122">
        <f t="shared" si="70"/>
        <v>0</v>
      </c>
      <c r="U148" s="122">
        <f>SUM(U144:U147)</f>
        <v>0</v>
      </c>
      <c r="V148" s="122">
        <f>SUM(V144:V147)</f>
        <v>0</v>
      </c>
      <c r="W148" s="122">
        <f>SUM(W144:W147)</f>
        <v>0</v>
      </c>
      <c r="X148" s="122">
        <f t="shared" si="70"/>
        <v>0</v>
      </c>
      <c r="Y148" s="122">
        <f t="shared" si="70"/>
        <v>0</v>
      </c>
      <c r="Z148" s="122">
        <f t="shared" si="70"/>
        <v>0</v>
      </c>
      <c r="AA148" s="122">
        <f t="shared" si="70"/>
        <v>0</v>
      </c>
      <c r="AB148" s="122">
        <f t="shared" si="70"/>
        <v>0</v>
      </c>
      <c r="AC148" s="122">
        <f>SUM(AC144:AC147)</f>
        <v>0</v>
      </c>
      <c r="AD148" s="122">
        <f>SUM(AD144:AD147)</f>
        <v>0</v>
      </c>
      <c r="AE148" s="122">
        <f>SUM(AE144:AE147)</f>
        <v>0</v>
      </c>
      <c r="AF148" s="122">
        <f t="shared" si="70"/>
        <v>0</v>
      </c>
      <c r="AG148" s="122">
        <f t="shared" si="70"/>
        <v>0</v>
      </c>
      <c r="AH148" s="122">
        <f t="shared" si="70"/>
        <v>0</v>
      </c>
    </row>
    <row r="149" spans="1:34" ht="12">
      <c r="A149" s="115" t="s">
        <v>392</v>
      </c>
      <c r="B149" s="117">
        <v>0</v>
      </c>
      <c r="C149" s="117"/>
      <c r="D149" s="117"/>
      <c r="E149" s="120">
        <f>SUM(B149:D149)</f>
        <v>0</v>
      </c>
      <c r="F149" s="117"/>
      <c r="G149" s="117"/>
      <c r="H149" s="120">
        <f>SUM(F149:G149)</f>
        <v>0</v>
      </c>
      <c r="I149" s="117"/>
      <c r="J149" s="117"/>
      <c r="K149" s="117"/>
      <c r="L149" s="117"/>
      <c r="M149" s="117"/>
      <c r="N149" s="117"/>
      <c r="O149" s="120">
        <f>SUM(I149:N149)</f>
        <v>0</v>
      </c>
      <c r="P149" s="117"/>
      <c r="Q149" s="117"/>
      <c r="R149" s="117"/>
      <c r="S149" s="117"/>
      <c r="T149" s="117"/>
      <c r="U149" s="117"/>
      <c r="V149" s="117"/>
      <c r="W149" s="117"/>
      <c r="X149" s="120">
        <f>SUM(P149:W149)</f>
        <v>0</v>
      </c>
      <c r="Y149" s="117"/>
      <c r="Z149" s="117">
        <f>Y149*iét!$D$226</f>
        <v>0</v>
      </c>
      <c r="AA149" s="117">
        <f>Y149*iét!$D$227</f>
        <v>0</v>
      </c>
      <c r="AB149" s="117">
        <f>Y149*iét!$D$228</f>
        <v>0</v>
      </c>
      <c r="AC149" s="117">
        <f>Y149*iét!$D$229</f>
        <v>0</v>
      </c>
      <c r="AD149" s="120">
        <f t="shared" si="65"/>
        <v>0</v>
      </c>
      <c r="AE149" s="117"/>
      <c r="AF149" s="117"/>
      <c r="AG149" s="120">
        <f>SUM(AE149:AF149)</f>
        <v>0</v>
      </c>
      <c r="AH149" s="131">
        <f t="shared" si="66"/>
        <v>0</v>
      </c>
    </row>
    <row r="150" spans="1:34" ht="12">
      <c r="A150" s="115" t="s">
        <v>393</v>
      </c>
      <c r="B150" s="117"/>
      <c r="C150" s="117"/>
      <c r="D150" s="117"/>
      <c r="E150" s="120">
        <f>SUM(B150:D150)</f>
        <v>0</v>
      </c>
      <c r="F150" s="117"/>
      <c r="G150" s="117"/>
      <c r="H150" s="120">
        <f>SUM(F150:G150)</f>
        <v>0</v>
      </c>
      <c r="I150" s="117"/>
      <c r="J150" s="117"/>
      <c r="K150" s="117"/>
      <c r="L150" s="117"/>
      <c r="M150" s="117"/>
      <c r="N150" s="117"/>
      <c r="O150" s="120">
        <f>SUM(I150:N150)</f>
        <v>0</v>
      </c>
      <c r="P150" s="117"/>
      <c r="Q150" s="117"/>
      <c r="R150" s="117"/>
      <c r="S150" s="117"/>
      <c r="T150" s="117"/>
      <c r="U150" s="117"/>
      <c r="V150" s="117"/>
      <c r="W150" s="117"/>
      <c r="X150" s="120">
        <f>SUM(P150:W150)</f>
        <v>0</v>
      </c>
      <c r="Y150" s="117"/>
      <c r="Z150" s="117">
        <f>Y150*iét!$D$226</f>
        <v>0</v>
      </c>
      <c r="AA150" s="117">
        <f>Y150*iét!$D$227</f>
        <v>0</v>
      </c>
      <c r="AB150" s="117">
        <f>Y150*iét!$D$228</f>
        <v>0</v>
      </c>
      <c r="AC150" s="117">
        <f>Y150*iét!$D$229</f>
        <v>0</v>
      </c>
      <c r="AD150" s="120">
        <f t="shared" si="65"/>
        <v>0</v>
      </c>
      <c r="AE150" s="117"/>
      <c r="AF150" s="117"/>
      <c r="AG150" s="120">
        <f>SUM(AE150:AF150)</f>
        <v>0</v>
      </c>
      <c r="AH150" s="131">
        <f t="shared" si="66"/>
        <v>0</v>
      </c>
    </row>
    <row r="151" spans="1:34" ht="12">
      <c r="A151" s="115" t="s">
        <v>394</v>
      </c>
      <c r="B151" s="117"/>
      <c r="C151" s="117"/>
      <c r="D151" s="117"/>
      <c r="E151" s="120">
        <f>SUM(B151:D151)</f>
        <v>0</v>
      </c>
      <c r="F151" s="117"/>
      <c r="G151" s="117"/>
      <c r="H151" s="120">
        <f>SUM(F151:G151)</f>
        <v>0</v>
      </c>
      <c r="I151" s="117"/>
      <c r="J151" s="117"/>
      <c r="K151" s="117"/>
      <c r="L151" s="117"/>
      <c r="M151" s="117"/>
      <c r="N151" s="117"/>
      <c r="O151" s="120">
        <f>SUM(I151:N151)</f>
        <v>0</v>
      </c>
      <c r="P151" s="117"/>
      <c r="Q151" s="117"/>
      <c r="R151" s="117"/>
      <c r="S151" s="117"/>
      <c r="T151" s="117"/>
      <c r="U151" s="117"/>
      <c r="V151" s="117"/>
      <c r="W151" s="117"/>
      <c r="X151" s="120">
        <f>SUM(P151:W151)</f>
        <v>0</v>
      </c>
      <c r="Y151" s="117"/>
      <c r="Z151" s="117">
        <f>Y151*iét!$D$226</f>
        <v>0</v>
      </c>
      <c r="AA151" s="117">
        <f>Y151*iét!$D$227</f>
        <v>0</v>
      </c>
      <c r="AB151" s="117">
        <f>Y151*iét!$D$228</f>
        <v>0</v>
      </c>
      <c r="AC151" s="117">
        <f>Y151*iét!$D$229</f>
        <v>0</v>
      </c>
      <c r="AD151" s="120">
        <f t="shared" si="65"/>
        <v>0</v>
      </c>
      <c r="AE151" s="117"/>
      <c r="AF151" s="117"/>
      <c r="AG151" s="120">
        <f>SUM(AE151:AF151)</f>
        <v>0</v>
      </c>
      <c r="AH151" s="131">
        <f t="shared" si="66"/>
        <v>0</v>
      </c>
    </row>
    <row r="152" spans="1:34" ht="12">
      <c r="A152" s="121" t="s">
        <v>395</v>
      </c>
      <c r="B152" s="122">
        <f aca="true" t="shared" si="71" ref="B152:AH152">SUM(B149:B151)</f>
        <v>0</v>
      </c>
      <c r="C152" s="122"/>
      <c r="D152" s="122">
        <f t="shared" si="71"/>
        <v>0</v>
      </c>
      <c r="E152" s="122">
        <f t="shared" si="71"/>
        <v>0</v>
      </c>
      <c r="F152" s="122">
        <f t="shared" si="71"/>
        <v>0</v>
      </c>
      <c r="G152" s="122">
        <f t="shared" si="71"/>
        <v>0</v>
      </c>
      <c r="H152" s="122">
        <f t="shared" si="71"/>
        <v>0</v>
      </c>
      <c r="I152" s="122">
        <f t="shared" si="71"/>
        <v>0</v>
      </c>
      <c r="J152" s="122">
        <f t="shared" si="71"/>
        <v>0</v>
      </c>
      <c r="K152" s="122">
        <f t="shared" si="71"/>
        <v>0</v>
      </c>
      <c r="L152" s="122">
        <f t="shared" si="71"/>
        <v>0</v>
      </c>
      <c r="M152" s="122">
        <f t="shared" si="71"/>
        <v>0</v>
      </c>
      <c r="N152" s="122">
        <f t="shared" si="71"/>
        <v>0</v>
      </c>
      <c r="O152" s="122">
        <f t="shared" si="71"/>
        <v>0</v>
      </c>
      <c r="P152" s="122">
        <f t="shared" si="71"/>
        <v>0</v>
      </c>
      <c r="Q152" s="122">
        <f t="shared" si="71"/>
        <v>0</v>
      </c>
      <c r="R152" s="122">
        <f t="shared" si="71"/>
        <v>0</v>
      </c>
      <c r="S152" s="122">
        <f t="shared" si="71"/>
        <v>0</v>
      </c>
      <c r="T152" s="122">
        <f t="shared" si="71"/>
        <v>0</v>
      </c>
      <c r="U152" s="122">
        <f>SUM(U149:U151)</f>
        <v>0</v>
      </c>
      <c r="V152" s="122">
        <f>SUM(V149:V151)</f>
        <v>0</v>
      </c>
      <c r="W152" s="122">
        <f>SUM(W149:W151)</f>
        <v>0</v>
      </c>
      <c r="X152" s="122">
        <f t="shared" si="71"/>
        <v>0</v>
      </c>
      <c r="Y152" s="122">
        <f t="shared" si="71"/>
        <v>0</v>
      </c>
      <c r="Z152" s="122">
        <f t="shared" si="71"/>
        <v>0</v>
      </c>
      <c r="AA152" s="122">
        <f t="shared" si="71"/>
        <v>0</v>
      </c>
      <c r="AB152" s="122">
        <f t="shared" si="71"/>
        <v>0</v>
      </c>
      <c r="AC152" s="122">
        <f>SUM(AC149:AC151)</f>
        <v>0</v>
      </c>
      <c r="AD152" s="122">
        <f>SUM(AD149:AD151)</f>
        <v>0</v>
      </c>
      <c r="AE152" s="122">
        <f t="shared" si="71"/>
        <v>0</v>
      </c>
      <c r="AF152" s="122">
        <f t="shared" si="71"/>
        <v>0</v>
      </c>
      <c r="AG152" s="122">
        <f t="shared" si="71"/>
        <v>0</v>
      </c>
      <c r="AH152" s="122">
        <f t="shared" si="71"/>
        <v>0</v>
      </c>
    </row>
    <row r="153" spans="1:34" ht="12">
      <c r="A153" s="116" t="s">
        <v>396</v>
      </c>
      <c r="B153" s="118">
        <f aca="true" t="shared" si="72" ref="B153:AH153">B134+B138+B143+B148+B152</f>
        <v>0</v>
      </c>
      <c r="C153" s="118"/>
      <c r="D153" s="118">
        <f t="shared" si="72"/>
        <v>0</v>
      </c>
      <c r="E153" s="118">
        <f t="shared" si="72"/>
        <v>0</v>
      </c>
      <c r="F153" s="118">
        <f t="shared" si="72"/>
        <v>0</v>
      </c>
      <c r="G153" s="118">
        <f t="shared" si="72"/>
        <v>0</v>
      </c>
      <c r="H153" s="118">
        <f t="shared" si="72"/>
        <v>0</v>
      </c>
      <c r="I153" s="118">
        <f t="shared" si="72"/>
        <v>0</v>
      </c>
      <c r="J153" s="118">
        <f t="shared" si="72"/>
        <v>0</v>
      </c>
      <c r="K153" s="118">
        <f t="shared" si="72"/>
        <v>0</v>
      </c>
      <c r="L153" s="118">
        <f t="shared" si="72"/>
        <v>0</v>
      </c>
      <c r="M153" s="118">
        <f t="shared" si="72"/>
        <v>0</v>
      </c>
      <c r="N153" s="118">
        <f t="shared" si="72"/>
        <v>0</v>
      </c>
      <c r="O153" s="118">
        <f t="shared" si="72"/>
        <v>0</v>
      </c>
      <c r="P153" s="118">
        <f t="shared" si="72"/>
        <v>0</v>
      </c>
      <c r="Q153" s="118">
        <f t="shared" si="72"/>
        <v>0</v>
      </c>
      <c r="R153" s="118">
        <f t="shared" si="72"/>
        <v>0</v>
      </c>
      <c r="S153" s="118">
        <f t="shared" si="72"/>
        <v>0</v>
      </c>
      <c r="T153" s="118">
        <f t="shared" si="72"/>
        <v>0</v>
      </c>
      <c r="U153" s="118">
        <f>U134+U138+U143+U148+U152</f>
        <v>0</v>
      </c>
      <c r="V153" s="118">
        <f>V134+V138+V143+V148+V152</f>
        <v>0</v>
      </c>
      <c r="W153" s="118">
        <f>W134+W138+W143+W148+W152</f>
        <v>0</v>
      </c>
      <c r="X153" s="118">
        <f t="shared" si="72"/>
        <v>0</v>
      </c>
      <c r="Y153" s="118">
        <f t="shared" si="72"/>
        <v>0</v>
      </c>
      <c r="Z153" s="118">
        <f t="shared" si="72"/>
        <v>0</v>
      </c>
      <c r="AA153" s="118">
        <f t="shared" si="72"/>
        <v>0</v>
      </c>
      <c r="AB153" s="118">
        <f t="shared" si="72"/>
        <v>0</v>
      </c>
      <c r="AC153" s="118">
        <f>AC134+AC138+AC143+AC148+AC152</f>
        <v>0</v>
      </c>
      <c r="AD153" s="118">
        <f>AD134+AD138+AD143+AD148+AD152</f>
        <v>0</v>
      </c>
      <c r="AE153" s="118">
        <f t="shared" si="72"/>
        <v>0</v>
      </c>
      <c r="AF153" s="118">
        <f t="shared" si="72"/>
        <v>0</v>
      </c>
      <c r="AG153" s="118">
        <f t="shared" si="72"/>
        <v>0</v>
      </c>
      <c r="AH153" s="118">
        <f t="shared" si="72"/>
        <v>0</v>
      </c>
    </row>
    <row r="154" spans="1:34" ht="12">
      <c r="A154" s="115" t="s">
        <v>397</v>
      </c>
      <c r="B154" s="117">
        <f>hiv!D175</f>
        <v>8000</v>
      </c>
      <c r="C154" s="117"/>
      <c r="D154" s="117"/>
      <c r="E154" s="120">
        <f>SUM(B154:D154)</f>
        <v>8000</v>
      </c>
      <c r="F154" s="117"/>
      <c r="G154" s="117"/>
      <c r="H154" s="120">
        <f>SUM(F154:G154)</f>
        <v>0</v>
      </c>
      <c r="I154" s="117"/>
      <c r="J154" s="117"/>
      <c r="K154" s="117"/>
      <c r="L154" s="117"/>
      <c r="M154" s="117"/>
      <c r="N154" s="117"/>
      <c r="O154" s="120">
        <f>SUM(I154:N154)</f>
        <v>0</v>
      </c>
      <c r="P154" s="117"/>
      <c r="Q154" s="117"/>
      <c r="R154" s="117"/>
      <c r="S154" s="117"/>
      <c r="T154" s="117"/>
      <c r="U154" s="117"/>
      <c r="V154" s="117"/>
      <c r="W154" s="117"/>
      <c r="X154" s="120">
        <f>SUM(P154:W154)</f>
        <v>0</v>
      </c>
      <c r="Y154" s="117"/>
      <c r="Z154" s="117">
        <f>Y154*iét!$D$226</f>
        <v>0</v>
      </c>
      <c r="AA154" s="117">
        <f>Y154*iét!$D$227</f>
        <v>0</v>
      </c>
      <c r="AB154" s="117">
        <f>Y154*iét!$D$228</f>
        <v>0</v>
      </c>
      <c r="AC154" s="117">
        <f>Y154*iét!$D$229</f>
        <v>0</v>
      </c>
      <c r="AD154" s="120">
        <f t="shared" si="65"/>
        <v>0</v>
      </c>
      <c r="AE154" s="117"/>
      <c r="AF154" s="117"/>
      <c r="AG154" s="120">
        <f>SUM(AE154:AF154)</f>
        <v>0</v>
      </c>
      <c r="AH154" s="131">
        <f>E154+H154+O154+X154+AD154+AG154</f>
        <v>8000</v>
      </c>
    </row>
    <row r="155" spans="1:34" ht="12">
      <c r="A155" s="115" t="s">
        <v>398</v>
      </c>
      <c r="B155" s="117">
        <f>hiv!D180</f>
        <v>2334</v>
      </c>
      <c r="C155" s="117"/>
      <c r="D155" s="117"/>
      <c r="E155" s="120">
        <f>SUM(B155:D155)</f>
        <v>2334</v>
      </c>
      <c r="F155" s="117"/>
      <c r="G155" s="117"/>
      <c r="H155" s="120">
        <f>SUM(F155:G155)</f>
        <v>0</v>
      </c>
      <c r="I155" s="117"/>
      <c r="J155" s="117"/>
      <c r="K155" s="117"/>
      <c r="L155" s="117"/>
      <c r="M155" s="117"/>
      <c r="N155" s="117"/>
      <c r="O155" s="120">
        <f>SUM(I155:N155)</f>
        <v>0</v>
      </c>
      <c r="P155" s="117"/>
      <c r="Q155" s="117"/>
      <c r="R155" s="117"/>
      <c r="S155" s="117"/>
      <c r="T155" s="117"/>
      <c r="U155" s="117"/>
      <c r="V155" s="117"/>
      <c r="W155" s="117"/>
      <c r="X155" s="120">
        <f>SUM(P155:W155)</f>
        <v>0</v>
      </c>
      <c r="Y155" s="117"/>
      <c r="Z155" s="117">
        <f>Y155*iét!$D$226</f>
        <v>0</v>
      </c>
      <c r="AA155" s="117">
        <f>Y155*iét!$D$227</f>
        <v>0</v>
      </c>
      <c r="AB155" s="117">
        <f>Y155*iét!$D$228</f>
        <v>0</v>
      </c>
      <c r="AC155" s="117">
        <f>Y155*iét!$D$229</f>
        <v>0</v>
      </c>
      <c r="AD155" s="120">
        <f t="shared" si="65"/>
        <v>0</v>
      </c>
      <c r="AE155" s="117"/>
      <c r="AF155" s="117"/>
      <c r="AG155" s="120">
        <f>SUM(AE155:AF155)</f>
        <v>0</v>
      </c>
      <c r="AH155" s="131">
        <f>E155+H155+O155+X155+AD155+AG155</f>
        <v>2334</v>
      </c>
    </row>
    <row r="156" spans="1:34" ht="12">
      <c r="A156" s="121" t="s">
        <v>399</v>
      </c>
      <c r="B156" s="122">
        <f aca="true" t="shared" si="73" ref="B156:AH156">SUM(B154:B155)</f>
        <v>10334</v>
      </c>
      <c r="C156" s="122"/>
      <c r="D156" s="122">
        <f t="shared" si="73"/>
        <v>0</v>
      </c>
      <c r="E156" s="122">
        <f t="shared" si="73"/>
        <v>10334</v>
      </c>
      <c r="F156" s="122">
        <f t="shared" si="73"/>
        <v>0</v>
      </c>
      <c r="G156" s="122">
        <f t="shared" si="73"/>
        <v>0</v>
      </c>
      <c r="H156" s="122">
        <f t="shared" si="73"/>
        <v>0</v>
      </c>
      <c r="I156" s="122">
        <f t="shared" si="73"/>
        <v>0</v>
      </c>
      <c r="J156" s="122">
        <f t="shared" si="73"/>
        <v>0</v>
      </c>
      <c r="K156" s="122">
        <f t="shared" si="73"/>
        <v>0</v>
      </c>
      <c r="L156" s="122">
        <f t="shared" si="73"/>
        <v>0</v>
      </c>
      <c r="M156" s="122">
        <f t="shared" si="73"/>
        <v>0</v>
      </c>
      <c r="N156" s="122">
        <f t="shared" si="73"/>
        <v>0</v>
      </c>
      <c r="O156" s="122">
        <f t="shared" si="73"/>
        <v>0</v>
      </c>
      <c r="P156" s="122">
        <f t="shared" si="73"/>
        <v>0</v>
      </c>
      <c r="Q156" s="122">
        <f t="shared" si="73"/>
        <v>0</v>
      </c>
      <c r="R156" s="122">
        <f t="shared" si="73"/>
        <v>0</v>
      </c>
      <c r="S156" s="122">
        <f t="shared" si="73"/>
        <v>0</v>
      </c>
      <c r="T156" s="122">
        <f t="shared" si="73"/>
        <v>0</v>
      </c>
      <c r="U156" s="122">
        <f>SUM(U154:U155)</f>
        <v>0</v>
      </c>
      <c r="V156" s="122">
        <f>SUM(V154:V155)</f>
        <v>0</v>
      </c>
      <c r="W156" s="122">
        <f>SUM(W154:W155)</f>
        <v>0</v>
      </c>
      <c r="X156" s="122">
        <f t="shared" si="73"/>
        <v>0</v>
      </c>
      <c r="Y156" s="122">
        <f t="shared" si="73"/>
        <v>0</v>
      </c>
      <c r="Z156" s="122">
        <f t="shared" si="73"/>
        <v>0</v>
      </c>
      <c r="AA156" s="122">
        <f t="shared" si="73"/>
        <v>0</v>
      </c>
      <c r="AB156" s="122">
        <f t="shared" si="73"/>
        <v>0</v>
      </c>
      <c r="AC156" s="122">
        <f>SUM(AC154:AC155)</f>
        <v>0</v>
      </c>
      <c r="AD156" s="122">
        <f>SUM(AD154:AD155)</f>
        <v>0</v>
      </c>
      <c r="AE156" s="122">
        <f>SUM(AE154:AE155)</f>
        <v>0</v>
      </c>
      <c r="AF156" s="122">
        <f t="shared" si="73"/>
        <v>0</v>
      </c>
      <c r="AG156" s="122">
        <f t="shared" si="73"/>
        <v>0</v>
      </c>
      <c r="AH156" s="122">
        <f t="shared" si="73"/>
        <v>10334</v>
      </c>
    </row>
    <row r="157" spans="1:34" ht="12">
      <c r="A157" s="115" t="s">
        <v>400</v>
      </c>
      <c r="B157" s="117">
        <f>hiv!D36</f>
        <v>0</v>
      </c>
      <c r="C157" s="117"/>
      <c r="D157" s="117"/>
      <c r="E157" s="120">
        <f>SUM(B157:D157)</f>
        <v>0</v>
      </c>
      <c r="F157" s="117"/>
      <c r="G157" s="117"/>
      <c r="H157" s="120">
        <f>SUM(F157:G157)</f>
        <v>0</v>
      </c>
      <c r="I157" s="117"/>
      <c r="J157" s="117"/>
      <c r="K157" s="117"/>
      <c r="L157" s="117"/>
      <c r="M157" s="117"/>
      <c r="N157" s="117"/>
      <c r="O157" s="120">
        <f>SUM(I157:N157)</f>
        <v>0</v>
      </c>
      <c r="P157" s="117"/>
      <c r="Q157" s="117"/>
      <c r="R157" s="117"/>
      <c r="S157" s="117"/>
      <c r="T157" s="117"/>
      <c r="U157" s="117"/>
      <c r="V157" s="117"/>
      <c r="W157" s="117"/>
      <c r="X157" s="120">
        <f>SUM(P157:W157)</f>
        <v>0</v>
      </c>
      <c r="Y157" s="117"/>
      <c r="Z157" s="117">
        <f>Y157*iét!$D$226</f>
        <v>0</v>
      </c>
      <c r="AA157" s="117">
        <f>Y157*iét!$D$227</f>
        <v>0</v>
      </c>
      <c r="AB157" s="117">
        <f>Y157*iét!$D$228</f>
        <v>0</v>
      </c>
      <c r="AC157" s="117">
        <f>Y157*iét!$D$229</f>
        <v>0</v>
      </c>
      <c r="AD157" s="120">
        <f t="shared" si="65"/>
        <v>0</v>
      </c>
      <c r="AE157" s="117">
        <f>hiv!$D$36</f>
        <v>0</v>
      </c>
      <c r="AF157" s="117"/>
      <c r="AG157" s="120">
        <f>SUM(AE157:AF157)</f>
        <v>0</v>
      </c>
      <c r="AH157" s="131">
        <f>E157+H157+O157+X157+AD157+AG157</f>
        <v>0</v>
      </c>
    </row>
    <row r="158" spans="1:34" ht="12">
      <c r="A158" s="115" t="s">
        <v>708</v>
      </c>
      <c r="B158" s="117">
        <f>hiv!D37</f>
        <v>500</v>
      </c>
      <c r="C158" s="117"/>
      <c r="D158" s="117"/>
      <c r="E158" s="120">
        <f>SUM(B158:D158)</f>
        <v>500</v>
      </c>
      <c r="F158" s="117"/>
      <c r="G158" s="117"/>
      <c r="H158" s="120">
        <f>SUM(F158:G158)</f>
        <v>0</v>
      </c>
      <c r="I158" s="117"/>
      <c r="J158" s="117"/>
      <c r="K158" s="117"/>
      <c r="L158" s="117"/>
      <c r="M158" s="117"/>
      <c r="N158" s="117"/>
      <c r="O158" s="120">
        <f>SUM(I158:N158)</f>
        <v>0</v>
      </c>
      <c r="P158" s="117"/>
      <c r="Q158" s="117"/>
      <c r="R158" s="117"/>
      <c r="S158" s="117"/>
      <c r="T158" s="117"/>
      <c r="U158" s="117"/>
      <c r="V158" s="117"/>
      <c r="W158" s="117"/>
      <c r="X158" s="120">
        <f>SUM(P158:W158)</f>
        <v>0</v>
      </c>
      <c r="Y158" s="117"/>
      <c r="Z158" s="117">
        <f>Y158*iét!$D$226</f>
        <v>0</v>
      </c>
      <c r="AA158" s="117">
        <f>Y158*iét!$D$227</f>
        <v>0</v>
      </c>
      <c r="AB158" s="117">
        <f>Y158*iét!$D$228</f>
        <v>0</v>
      </c>
      <c r="AC158" s="117">
        <f>Y158*iét!$D$229</f>
        <v>0</v>
      </c>
      <c r="AD158" s="120">
        <f t="shared" si="65"/>
        <v>0</v>
      </c>
      <c r="AE158" s="117"/>
      <c r="AF158" s="117"/>
      <c r="AG158" s="120">
        <f>SUM(AE158:AF158)</f>
        <v>0</v>
      </c>
      <c r="AH158" s="131">
        <f>E158+H158+O158+X158+AD158+AG158</f>
        <v>500</v>
      </c>
    </row>
    <row r="159" spans="1:34" ht="12">
      <c r="A159" s="121" t="s">
        <v>1172</v>
      </c>
      <c r="B159" s="122">
        <f aca="true" t="shared" si="74" ref="B159:AH159">SUM(B157:B158)</f>
        <v>500</v>
      </c>
      <c r="C159" s="122"/>
      <c r="D159" s="122">
        <f t="shared" si="74"/>
        <v>0</v>
      </c>
      <c r="E159" s="122">
        <f t="shared" si="74"/>
        <v>500</v>
      </c>
      <c r="F159" s="122">
        <f>SUM(F157:F158)</f>
        <v>0</v>
      </c>
      <c r="G159" s="122">
        <f t="shared" si="74"/>
        <v>0</v>
      </c>
      <c r="H159" s="122">
        <f t="shared" si="74"/>
        <v>0</v>
      </c>
      <c r="I159" s="122">
        <f t="shared" si="74"/>
        <v>0</v>
      </c>
      <c r="J159" s="122">
        <f t="shared" si="74"/>
        <v>0</v>
      </c>
      <c r="K159" s="122">
        <f t="shared" si="74"/>
        <v>0</v>
      </c>
      <c r="L159" s="122">
        <f t="shared" si="74"/>
        <v>0</v>
      </c>
      <c r="M159" s="122">
        <f t="shared" si="74"/>
        <v>0</v>
      </c>
      <c r="N159" s="122">
        <f t="shared" si="74"/>
        <v>0</v>
      </c>
      <c r="O159" s="122">
        <f t="shared" si="74"/>
        <v>0</v>
      </c>
      <c r="P159" s="122">
        <f t="shared" si="74"/>
        <v>0</v>
      </c>
      <c r="Q159" s="122">
        <f t="shared" si="74"/>
        <v>0</v>
      </c>
      <c r="R159" s="122">
        <f t="shared" si="74"/>
        <v>0</v>
      </c>
      <c r="S159" s="122">
        <f t="shared" si="74"/>
        <v>0</v>
      </c>
      <c r="T159" s="122">
        <f t="shared" si="74"/>
        <v>0</v>
      </c>
      <c r="U159" s="122">
        <f>SUM(U157:U158)</f>
        <v>0</v>
      </c>
      <c r="V159" s="122">
        <f>SUM(V157:V158)</f>
        <v>0</v>
      </c>
      <c r="W159" s="122">
        <f>SUM(W157:W158)</f>
        <v>0</v>
      </c>
      <c r="X159" s="122">
        <f t="shared" si="74"/>
        <v>0</v>
      </c>
      <c r="Y159" s="122">
        <f t="shared" si="74"/>
        <v>0</v>
      </c>
      <c r="Z159" s="122">
        <f t="shared" si="74"/>
        <v>0</v>
      </c>
      <c r="AA159" s="122">
        <f t="shared" si="74"/>
        <v>0</v>
      </c>
      <c r="AB159" s="122">
        <f t="shared" si="74"/>
        <v>0</v>
      </c>
      <c r="AC159" s="122">
        <f>SUM(AC157:AC158)</f>
        <v>0</v>
      </c>
      <c r="AD159" s="122">
        <f>SUM(AD157:AD158)</f>
        <v>0</v>
      </c>
      <c r="AE159" s="122">
        <f t="shared" si="74"/>
        <v>0</v>
      </c>
      <c r="AF159" s="122">
        <f t="shared" si="74"/>
        <v>0</v>
      </c>
      <c r="AG159" s="122">
        <f t="shared" si="74"/>
        <v>0</v>
      </c>
      <c r="AH159" s="122">
        <f t="shared" si="74"/>
        <v>500</v>
      </c>
    </row>
    <row r="160" spans="1:34" ht="12">
      <c r="A160" s="125" t="s">
        <v>1173</v>
      </c>
      <c r="B160" s="126">
        <f aca="true" t="shared" si="75" ref="B160:AH160">B47+B54+B107+B108+B109+B110+B113+B129+B154+B157</f>
        <v>54731</v>
      </c>
      <c r="C160" s="126"/>
      <c r="D160" s="126">
        <f t="shared" si="75"/>
        <v>4104</v>
      </c>
      <c r="E160" s="126">
        <f t="shared" si="75"/>
        <v>58835</v>
      </c>
      <c r="F160" s="126">
        <f>F47+F54+F107+F108+F109+F110+F113+F129+F154+F157</f>
        <v>5312</v>
      </c>
      <c r="G160" s="126">
        <f t="shared" si="75"/>
        <v>1188</v>
      </c>
      <c r="H160" s="126">
        <f t="shared" si="75"/>
        <v>6500</v>
      </c>
      <c r="I160" s="126">
        <f t="shared" si="75"/>
        <v>0</v>
      </c>
      <c r="J160" s="126">
        <f t="shared" si="75"/>
        <v>1875</v>
      </c>
      <c r="K160" s="126">
        <f t="shared" si="75"/>
        <v>90</v>
      </c>
      <c r="L160" s="126">
        <f t="shared" si="75"/>
        <v>2040</v>
      </c>
      <c r="M160" s="126">
        <f t="shared" si="75"/>
        <v>1800</v>
      </c>
      <c r="N160" s="126">
        <f t="shared" si="75"/>
        <v>0</v>
      </c>
      <c r="O160" s="126">
        <f t="shared" si="75"/>
        <v>5805</v>
      </c>
      <c r="P160" s="126">
        <f t="shared" si="75"/>
        <v>3837</v>
      </c>
      <c r="Q160" s="126">
        <f t="shared" si="75"/>
        <v>2543</v>
      </c>
      <c r="R160" s="126">
        <f t="shared" si="75"/>
        <v>2325</v>
      </c>
      <c r="S160" s="126">
        <f t="shared" si="75"/>
        <v>1741</v>
      </c>
      <c r="T160" s="126">
        <f t="shared" si="75"/>
        <v>7653</v>
      </c>
      <c r="U160" s="126">
        <f>U47+U54+U107+U108+U109+U110+U113+U129+U154+U157</f>
        <v>12026</v>
      </c>
      <c r="V160" s="126">
        <f>V47+V54+V107+V108+V109+V110+V113+V129+V154+V157</f>
        <v>1750</v>
      </c>
      <c r="W160" s="126">
        <f>W47+W54+W107+W108+W109+W110+W113+W129+W154+W157</f>
        <v>0</v>
      </c>
      <c r="X160" s="126">
        <f t="shared" si="75"/>
        <v>31875</v>
      </c>
      <c r="Y160" s="126">
        <f t="shared" si="75"/>
        <v>10758</v>
      </c>
      <c r="Z160" s="126">
        <f t="shared" si="75"/>
        <v>2185.683303947645</v>
      </c>
      <c r="AA160" s="126">
        <f t="shared" si="75"/>
        <v>6694.6094330328</v>
      </c>
      <c r="AB160" s="126">
        <f t="shared" si="75"/>
        <v>1877.7072630195548</v>
      </c>
      <c r="AC160" s="126">
        <f>AC47+AC54+AC107+AC108+AC109+AC110+AC113+AC129+AC154+AC157</f>
        <v>0</v>
      </c>
      <c r="AD160" s="126">
        <f>AD47+AD54+AD107+AD108+AD109+AD110+AD113+AD129+AD154+AD157</f>
        <v>10758</v>
      </c>
      <c r="AE160" s="126">
        <f t="shared" si="75"/>
        <v>0</v>
      </c>
      <c r="AF160" s="126">
        <f t="shared" si="75"/>
        <v>3552</v>
      </c>
      <c r="AG160" s="126">
        <f t="shared" si="75"/>
        <v>3552</v>
      </c>
      <c r="AH160" s="126">
        <f t="shared" si="75"/>
        <v>117325</v>
      </c>
    </row>
    <row r="161" spans="1:34" ht="12">
      <c r="A161" s="125" t="s">
        <v>340</v>
      </c>
      <c r="B161" s="126">
        <f>B111+B112+B134+B138+B143+B148+B152+B155+B158</f>
        <v>3911</v>
      </c>
      <c r="C161" s="126"/>
      <c r="D161" s="126">
        <f aca="true" t="shared" si="76" ref="D161:AG161">D111+D112+D134+D138+D143+D148+D152+D155+D158</f>
        <v>0</v>
      </c>
      <c r="E161" s="126">
        <f t="shared" si="76"/>
        <v>3911</v>
      </c>
      <c r="F161" s="126">
        <f>F111+F112+F134+F138+F143+F148+F152+F155+F158</f>
        <v>0</v>
      </c>
      <c r="G161" s="126">
        <f t="shared" si="76"/>
        <v>0</v>
      </c>
      <c r="H161" s="126">
        <f t="shared" si="76"/>
        <v>0</v>
      </c>
      <c r="I161" s="126">
        <f t="shared" si="76"/>
        <v>0</v>
      </c>
      <c r="J161" s="126">
        <f t="shared" si="76"/>
        <v>0</v>
      </c>
      <c r="K161" s="126">
        <f t="shared" si="76"/>
        <v>0</v>
      </c>
      <c r="L161" s="126">
        <f t="shared" si="76"/>
        <v>0</v>
      </c>
      <c r="M161" s="126">
        <f t="shared" si="76"/>
        <v>0</v>
      </c>
      <c r="N161" s="126">
        <f t="shared" si="76"/>
        <v>0</v>
      </c>
      <c r="O161" s="126">
        <f t="shared" si="76"/>
        <v>0</v>
      </c>
      <c r="P161" s="126">
        <f t="shared" si="76"/>
        <v>0</v>
      </c>
      <c r="Q161" s="126">
        <f t="shared" si="76"/>
        <v>0</v>
      </c>
      <c r="R161" s="126">
        <f t="shared" si="76"/>
        <v>0</v>
      </c>
      <c r="S161" s="126">
        <f t="shared" si="76"/>
        <v>17</v>
      </c>
      <c r="T161" s="126">
        <f t="shared" si="76"/>
        <v>0</v>
      </c>
      <c r="U161" s="126">
        <f>U111+U112+U134+U138+U143+U148+U152+U155+U158</f>
        <v>0</v>
      </c>
      <c r="V161" s="126">
        <f>V111+V112+V134+V138+V143+V148+V152+V155+V158</f>
        <v>0</v>
      </c>
      <c r="W161" s="126">
        <f>W111+W112+W134+W138+W143+W148+W152+W155+W158</f>
        <v>0</v>
      </c>
      <c r="X161" s="126">
        <f t="shared" si="76"/>
        <v>17</v>
      </c>
      <c r="Y161" s="126">
        <f t="shared" si="76"/>
        <v>0</v>
      </c>
      <c r="Z161" s="126">
        <f t="shared" si="76"/>
        <v>0</v>
      </c>
      <c r="AA161" s="126">
        <f t="shared" si="76"/>
        <v>0</v>
      </c>
      <c r="AB161" s="126">
        <f t="shared" si="76"/>
        <v>0</v>
      </c>
      <c r="AC161" s="126">
        <f>AC111+AC112+AC134+AC138+AC143+AC148+AC152+AC155+AC158</f>
        <v>0</v>
      </c>
      <c r="AD161" s="126">
        <f>AD111+AD112+AD134+AD138+AD143+AD148+AD152+AD155+AD158</f>
        <v>0</v>
      </c>
      <c r="AE161" s="126">
        <f t="shared" si="76"/>
        <v>0</v>
      </c>
      <c r="AF161" s="126">
        <f t="shared" si="76"/>
        <v>0</v>
      </c>
      <c r="AG161" s="126">
        <f t="shared" si="76"/>
        <v>0</v>
      </c>
      <c r="AH161" s="126">
        <f>AH111+AH112+AH134+AH138+AH143+AH148+AH152+AH155+AH158</f>
        <v>3928</v>
      </c>
    </row>
    <row r="162" spans="1:35" s="27" customFormat="1" ht="11.25">
      <c r="A162" s="138"/>
      <c r="B162" s="139">
        <f aca="true" t="shared" si="77" ref="B162:AH162">SUM(B160:B161)</f>
        <v>58642</v>
      </c>
      <c r="C162" s="139"/>
      <c r="D162" s="139">
        <f t="shared" si="77"/>
        <v>4104</v>
      </c>
      <c r="E162" s="139">
        <f t="shared" si="77"/>
        <v>62746</v>
      </c>
      <c r="F162" s="139">
        <f>SUM(F160:F161)</f>
        <v>5312</v>
      </c>
      <c r="G162" s="139">
        <f t="shared" si="77"/>
        <v>1188</v>
      </c>
      <c r="H162" s="139">
        <f t="shared" si="77"/>
        <v>6500</v>
      </c>
      <c r="I162" s="139">
        <f t="shared" si="77"/>
        <v>0</v>
      </c>
      <c r="J162" s="139">
        <f t="shared" si="77"/>
        <v>1875</v>
      </c>
      <c r="K162" s="139">
        <f t="shared" si="77"/>
        <v>90</v>
      </c>
      <c r="L162" s="139">
        <f t="shared" si="77"/>
        <v>2040</v>
      </c>
      <c r="M162" s="139">
        <f t="shared" si="77"/>
        <v>1800</v>
      </c>
      <c r="N162" s="139">
        <f t="shared" si="77"/>
        <v>0</v>
      </c>
      <c r="O162" s="139">
        <f t="shared" si="77"/>
        <v>5805</v>
      </c>
      <c r="P162" s="139">
        <f t="shared" si="77"/>
        <v>3837</v>
      </c>
      <c r="Q162" s="139">
        <f t="shared" si="77"/>
        <v>2543</v>
      </c>
      <c r="R162" s="139">
        <f t="shared" si="77"/>
        <v>2325</v>
      </c>
      <c r="S162" s="139">
        <f t="shared" si="77"/>
        <v>1758</v>
      </c>
      <c r="T162" s="139">
        <f t="shared" si="77"/>
        <v>7653</v>
      </c>
      <c r="U162" s="139">
        <f>SUM(U160:U161)</f>
        <v>12026</v>
      </c>
      <c r="V162" s="139">
        <f>SUM(V160:V161)</f>
        <v>1750</v>
      </c>
      <c r="W162" s="139">
        <f>SUM(W160:W161)</f>
        <v>0</v>
      </c>
      <c r="X162" s="139">
        <f t="shared" si="77"/>
        <v>31892</v>
      </c>
      <c r="Y162" s="139">
        <f t="shared" si="77"/>
        <v>10758</v>
      </c>
      <c r="Z162" s="139">
        <f t="shared" si="77"/>
        <v>2185.683303947645</v>
      </c>
      <c r="AA162" s="139">
        <f t="shared" si="77"/>
        <v>6694.6094330328</v>
      </c>
      <c r="AB162" s="139">
        <f t="shared" si="77"/>
        <v>1877.7072630195548</v>
      </c>
      <c r="AC162" s="139">
        <f>SUM(AC160:AC161)</f>
        <v>0</v>
      </c>
      <c r="AD162" s="139">
        <f>SUM(AD160:AD161)</f>
        <v>10758</v>
      </c>
      <c r="AE162" s="139">
        <f t="shared" si="77"/>
        <v>0</v>
      </c>
      <c r="AF162" s="139">
        <f t="shared" si="77"/>
        <v>3552</v>
      </c>
      <c r="AG162" s="139">
        <f t="shared" si="77"/>
        <v>3552</v>
      </c>
      <c r="AH162" s="139">
        <f t="shared" si="77"/>
        <v>121253</v>
      </c>
      <c r="AI162" s="13"/>
    </row>
    <row r="163" spans="1:34" ht="12">
      <c r="A163" s="140" t="s">
        <v>1174</v>
      </c>
      <c r="B163" s="141">
        <f aca="true" t="shared" si="78" ref="B163:AG163">B47+B54+B107+B108+B130+B153+B156+B159</f>
        <v>58642</v>
      </c>
      <c r="C163" s="141"/>
      <c r="D163" s="141">
        <f t="shared" si="78"/>
        <v>4104</v>
      </c>
      <c r="E163" s="141">
        <f t="shared" si="78"/>
        <v>62746</v>
      </c>
      <c r="F163" s="141">
        <f>F47+F54+F107+F108+F130+F153+F156+F159</f>
        <v>5312</v>
      </c>
      <c r="G163" s="141">
        <f t="shared" si="78"/>
        <v>1188</v>
      </c>
      <c r="H163" s="141">
        <f t="shared" si="78"/>
        <v>6500</v>
      </c>
      <c r="I163" s="141">
        <f t="shared" si="78"/>
        <v>0</v>
      </c>
      <c r="J163" s="141">
        <f t="shared" si="78"/>
        <v>1875</v>
      </c>
      <c r="K163" s="141">
        <f t="shared" si="78"/>
        <v>90</v>
      </c>
      <c r="L163" s="141">
        <f t="shared" si="78"/>
        <v>2040</v>
      </c>
      <c r="M163" s="141">
        <f t="shared" si="78"/>
        <v>1800</v>
      </c>
      <c r="N163" s="141">
        <f t="shared" si="78"/>
        <v>0</v>
      </c>
      <c r="O163" s="141">
        <f t="shared" si="78"/>
        <v>5805</v>
      </c>
      <c r="P163" s="141">
        <f t="shared" si="78"/>
        <v>3837</v>
      </c>
      <c r="Q163" s="141">
        <f t="shared" si="78"/>
        <v>2543</v>
      </c>
      <c r="R163" s="141">
        <f t="shared" si="78"/>
        <v>2325</v>
      </c>
      <c r="S163" s="141">
        <f t="shared" si="78"/>
        <v>1758</v>
      </c>
      <c r="T163" s="141">
        <f t="shared" si="78"/>
        <v>7653</v>
      </c>
      <c r="U163" s="141">
        <f>U47+U54+U107+U108+U130+U153+U156+U159</f>
        <v>12026</v>
      </c>
      <c r="V163" s="141">
        <f>V47+V54+V107+V108+V130+V153+V156+V159</f>
        <v>1750</v>
      </c>
      <c r="W163" s="141">
        <f>W47+W54+W107+W108+W130+W153+W156+W159</f>
        <v>0</v>
      </c>
      <c r="X163" s="141">
        <f t="shared" si="78"/>
        <v>31892</v>
      </c>
      <c r="Y163" s="141">
        <f t="shared" si="78"/>
        <v>10758</v>
      </c>
      <c r="Z163" s="141">
        <f t="shared" si="78"/>
        <v>2185.683303947645</v>
      </c>
      <c r="AA163" s="141">
        <f t="shared" si="78"/>
        <v>6694.6094330328</v>
      </c>
      <c r="AB163" s="141">
        <f t="shared" si="78"/>
        <v>1877.7072630195548</v>
      </c>
      <c r="AC163" s="141">
        <f>AC47+AC54+AC107+AC108+AC130+AC153+AC156+AC159</f>
        <v>0</v>
      </c>
      <c r="AD163" s="141">
        <f>AD47+AD54+AD107+AD108+AD130+AD153+AD156+AD159</f>
        <v>10758</v>
      </c>
      <c r="AE163" s="141">
        <f t="shared" si="78"/>
        <v>0</v>
      </c>
      <c r="AF163" s="141">
        <f t="shared" si="78"/>
        <v>3552</v>
      </c>
      <c r="AG163" s="141">
        <f t="shared" si="78"/>
        <v>3552</v>
      </c>
      <c r="AH163" s="141">
        <f>AH47+AH54+AH107+AH108+AH130+AH153+AH156+AH159</f>
        <v>121253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19" sqref="B19"/>
    </sheetView>
  </sheetViews>
  <sheetFormatPr defaultColWidth="9.00390625" defaultRowHeight="12.75"/>
  <cols>
    <col min="1" max="1" width="6.625" style="37" bestFit="1" customWidth="1"/>
    <col min="2" max="2" width="40.75390625" style="37" bestFit="1" customWidth="1"/>
    <col min="3" max="3" width="31.625" style="37" customWidth="1"/>
    <col min="4" max="16384" width="9.125" style="37" customWidth="1"/>
  </cols>
  <sheetData>
    <row r="1" spans="1:3" ht="12">
      <c r="A1" s="365" t="s">
        <v>856</v>
      </c>
      <c r="B1" s="366"/>
      <c r="C1" s="367"/>
    </row>
    <row r="2" spans="1:3" ht="12">
      <c r="A2" s="472"/>
      <c r="B2" s="473"/>
      <c r="C2" s="474"/>
    </row>
    <row r="3" spans="1:3" ht="12">
      <c r="A3" s="368"/>
      <c r="B3" s="369"/>
      <c r="C3" s="370"/>
    </row>
    <row r="4" spans="1:3" ht="12">
      <c r="A4" s="324" t="s">
        <v>857</v>
      </c>
      <c r="B4" s="359" t="s">
        <v>858</v>
      </c>
      <c r="C4" s="324" t="s">
        <v>859</v>
      </c>
    </row>
    <row r="5" spans="1:3" ht="12">
      <c r="A5" s="411"/>
      <c r="B5" s="475"/>
      <c r="C5" s="411"/>
    </row>
    <row r="6" spans="1:3" ht="12.75" thickBot="1">
      <c r="A6" s="412"/>
      <c r="B6" s="476"/>
      <c r="C6" s="412"/>
    </row>
    <row r="7" spans="1:3" ht="12.75" thickTop="1">
      <c r="A7" s="41"/>
      <c r="B7" s="41"/>
      <c r="C7" s="42"/>
    </row>
    <row r="8" spans="1:3" ht="12">
      <c r="A8" s="43"/>
      <c r="B8" s="41"/>
      <c r="C8" s="42"/>
    </row>
    <row r="9" spans="1:3" ht="12">
      <c r="A9" s="43" t="s">
        <v>860</v>
      </c>
      <c r="B9" s="41" t="s">
        <v>861</v>
      </c>
      <c r="C9" s="42" t="s">
        <v>862</v>
      </c>
    </row>
    <row r="10" spans="1:3" ht="12">
      <c r="A10" s="43" t="s">
        <v>863</v>
      </c>
      <c r="B10" s="41" t="s">
        <v>887</v>
      </c>
      <c r="C10" s="42" t="s">
        <v>864</v>
      </c>
    </row>
    <row r="11" spans="1:3" ht="12">
      <c r="A11" s="43" t="s">
        <v>865</v>
      </c>
      <c r="B11" s="41" t="s">
        <v>867</v>
      </c>
      <c r="C11" s="42" t="s">
        <v>864</v>
      </c>
    </row>
    <row r="12" spans="1:3" ht="12">
      <c r="A12" s="43" t="s">
        <v>866</v>
      </c>
      <c r="B12" s="41" t="s">
        <v>869</v>
      </c>
      <c r="C12" s="42" t="s">
        <v>864</v>
      </c>
    </row>
    <row r="13" spans="1:3" ht="12">
      <c r="A13" s="43" t="s">
        <v>868</v>
      </c>
      <c r="B13" s="41" t="s">
        <v>871</v>
      </c>
      <c r="C13" s="42" t="s">
        <v>864</v>
      </c>
    </row>
    <row r="14" spans="1:3" ht="12">
      <c r="A14" s="43" t="s">
        <v>870</v>
      </c>
      <c r="B14" s="41" t="s">
        <v>873</v>
      </c>
      <c r="C14" s="42" t="s">
        <v>864</v>
      </c>
    </row>
    <row r="15" spans="1:3" ht="12">
      <c r="A15" s="43"/>
      <c r="B15" s="41"/>
      <c r="C15" s="42"/>
    </row>
    <row r="16" spans="1:3" ht="12">
      <c r="A16" s="49"/>
      <c r="B16" s="49"/>
      <c r="C16" s="52"/>
    </row>
  </sheetData>
  <mergeCells count="4">
    <mergeCell ref="A1:C3"/>
    <mergeCell ref="A4:A6"/>
    <mergeCell ref="B4:B6"/>
    <mergeCell ref="C4:C6"/>
  </mergeCells>
  <printOptions horizontalCentered="1"/>
  <pageMargins left="0.5905511811023623" right="0.5905511811023623" top="3.1496062992125986" bottom="0.984251968503937" header="1.3779527559055118" footer="0.5118110236220472"/>
  <pageSetup firstPageNumber="1" useFirstPageNumber="1" horizontalDpi="180" verticalDpi="180" orientation="portrait" paperSize="9" r:id="rId1"/>
  <headerFooter alignWithMargins="0">
    <oddHeader>&amp;C
&amp;"Arial,Félkövér dőlt"&amp;12Tiszagyulaháza község 2008.évi költségvetésének címrendje&amp;R&amp;"Arial,Dőlt"&amp;8 1.számú melléklet &amp;"Arial CE,Normál"&amp;10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8">
      <selection activeCell="F46" sqref="F46"/>
    </sheetView>
  </sheetViews>
  <sheetFormatPr defaultColWidth="9.00390625" defaultRowHeight="12.75"/>
  <cols>
    <col min="1" max="1" width="48.25390625" style="37" bestFit="1" customWidth="1"/>
    <col min="2" max="3" width="12.875" style="55" bestFit="1" customWidth="1"/>
    <col min="4" max="4" width="11.875" style="55" bestFit="1" customWidth="1"/>
    <col min="5" max="16384" width="9.125" style="37" customWidth="1"/>
  </cols>
  <sheetData>
    <row r="1" spans="1:4" ht="12">
      <c r="A1" s="324" t="s">
        <v>875</v>
      </c>
      <c r="B1" s="329" t="s">
        <v>876</v>
      </c>
      <c r="C1" s="477"/>
      <c r="D1" s="353"/>
    </row>
    <row r="2" spans="1:4" ht="12">
      <c r="A2" s="325"/>
      <c r="B2" s="478"/>
      <c r="C2" s="479"/>
      <c r="D2" s="480"/>
    </row>
    <row r="3" spans="1:4" ht="12">
      <c r="A3" s="325"/>
      <c r="B3" s="357" t="s">
        <v>877</v>
      </c>
      <c r="C3" s="481" t="s">
        <v>878</v>
      </c>
      <c r="D3" s="354"/>
    </row>
    <row r="4" spans="1:4" ht="12">
      <c r="A4" s="325"/>
      <c r="B4" s="357"/>
      <c r="C4" s="478"/>
      <c r="D4" s="480"/>
    </row>
    <row r="5" spans="1:4" ht="12">
      <c r="A5" s="325"/>
      <c r="B5" s="357"/>
      <c r="C5" s="357" t="s">
        <v>879</v>
      </c>
      <c r="D5" s="354" t="s">
        <v>880</v>
      </c>
    </row>
    <row r="6" spans="1:4" ht="12.75" thickBot="1">
      <c r="A6" s="326"/>
      <c r="B6" s="358"/>
      <c r="C6" s="358"/>
      <c r="D6" s="355"/>
    </row>
    <row r="7" spans="1:4" ht="12.75" thickTop="1">
      <c r="A7" s="41"/>
      <c r="B7" s="146"/>
      <c r="C7" s="5"/>
      <c r="D7" s="44"/>
    </row>
    <row r="8" spans="1:4" ht="12">
      <c r="A8" s="41"/>
      <c r="B8" s="5"/>
      <c r="C8" s="5"/>
      <c r="D8" s="44"/>
    </row>
    <row r="9" spans="1:4" ht="12">
      <c r="A9" s="41" t="s">
        <v>686</v>
      </c>
      <c r="B9" s="5">
        <f aca="true" t="shared" si="0" ref="B9:B50">C9+D9</f>
        <v>2980</v>
      </c>
      <c r="C9" s="5">
        <f>beö!AD6</f>
        <v>2980</v>
      </c>
      <c r="D9" s="44">
        <v>0</v>
      </c>
    </row>
    <row r="10" spans="1:4" ht="12">
      <c r="A10" s="41" t="s">
        <v>881</v>
      </c>
      <c r="B10" s="5">
        <f t="shared" si="0"/>
        <v>0</v>
      </c>
      <c r="C10" s="5">
        <f>beö!AD10</f>
        <v>0</v>
      </c>
      <c r="D10" s="44">
        <v>0</v>
      </c>
    </row>
    <row r="11" spans="1:4" ht="12">
      <c r="A11" s="41" t="s">
        <v>882</v>
      </c>
      <c r="B11" s="5">
        <f t="shared" si="0"/>
        <v>80</v>
      </c>
      <c r="C11" s="5">
        <f>beö!AD18</f>
        <v>80</v>
      </c>
      <c r="D11" s="44">
        <v>0</v>
      </c>
    </row>
    <row r="12" spans="1:4" ht="12">
      <c r="A12" s="41" t="s">
        <v>883</v>
      </c>
      <c r="B12" s="5">
        <f t="shared" si="0"/>
        <v>616</v>
      </c>
      <c r="C12" s="5">
        <f>beö!AD23</f>
        <v>616</v>
      </c>
      <c r="D12" s="44">
        <v>0</v>
      </c>
    </row>
    <row r="13" spans="1:4" ht="12">
      <c r="A13" s="41" t="s">
        <v>1625</v>
      </c>
      <c r="B13" s="5">
        <f t="shared" si="0"/>
        <v>0</v>
      </c>
      <c r="C13" s="5">
        <f>beö!AD30</f>
        <v>0</v>
      </c>
      <c r="D13" s="44">
        <v>0</v>
      </c>
    </row>
    <row r="14" spans="1:4" s="61" customFormat="1" ht="12">
      <c r="A14" s="56" t="s">
        <v>940</v>
      </c>
      <c r="B14" s="58">
        <f t="shared" si="0"/>
        <v>3676</v>
      </c>
      <c r="C14" s="58">
        <f>SUM(C9:C13)</f>
        <v>3676</v>
      </c>
      <c r="D14" s="59">
        <f>SUM(D9:D13)</f>
        <v>0</v>
      </c>
    </row>
    <row r="15" spans="1:4" ht="12">
      <c r="A15" s="41" t="s">
        <v>941</v>
      </c>
      <c r="B15" s="5">
        <f t="shared" si="0"/>
        <v>0</v>
      </c>
      <c r="C15" s="5"/>
      <c r="D15" s="44"/>
    </row>
    <row r="16" spans="1:4" ht="12">
      <c r="A16" s="41" t="s">
        <v>907</v>
      </c>
      <c r="B16" s="5">
        <f t="shared" si="0"/>
        <v>2042</v>
      </c>
      <c r="C16" s="5"/>
      <c r="D16" s="5">
        <f>beö!AD57</f>
        <v>2042</v>
      </c>
    </row>
    <row r="17" spans="1:4" ht="12">
      <c r="A17" s="41" t="s">
        <v>942</v>
      </c>
      <c r="B17" s="5">
        <f t="shared" si="0"/>
        <v>30</v>
      </c>
      <c r="C17" s="5">
        <f>beö!AD58</f>
        <v>30</v>
      </c>
      <c r="D17" s="44"/>
    </row>
    <row r="18" spans="1:4" ht="12">
      <c r="A18" s="41" t="s">
        <v>198</v>
      </c>
      <c r="B18" s="5">
        <f t="shared" si="0"/>
        <v>250</v>
      </c>
      <c r="C18" s="5">
        <f>beö!AD59</f>
        <v>250</v>
      </c>
      <c r="D18" s="44"/>
    </row>
    <row r="19" spans="1:4" ht="12">
      <c r="A19" s="41" t="s">
        <v>943</v>
      </c>
      <c r="B19" s="5">
        <f t="shared" si="0"/>
        <v>60</v>
      </c>
      <c r="C19" s="5">
        <f>beö!AD60</f>
        <v>60</v>
      </c>
      <c r="D19" s="44"/>
    </row>
    <row r="20" spans="1:4" s="9" customFormat="1" ht="12">
      <c r="A20" s="2" t="s">
        <v>910</v>
      </c>
      <c r="B20" s="4">
        <f t="shared" si="0"/>
        <v>2382</v>
      </c>
      <c r="C20" s="4">
        <f>SUM(C16:C19)</f>
        <v>340</v>
      </c>
      <c r="D20" s="8">
        <f>SUM(D16:D19)</f>
        <v>2042</v>
      </c>
    </row>
    <row r="21" spans="1:4" ht="12">
      <c r="A21" s="41" t="s">
        <v>944</v>
      </c>
      <c r="B21" s="5">
        <f t="shared" si="0"/>
        <v>0</v>
      </c>
      <c r="C21" s="5"/>
      <c r="D21" s="44"/>
    </row>
    <row r="22" spans="1:4" ht="12">
      <c r="A22" s="41" t="s">
        <v>945</v>
      </c>
      <c r="B22" s="5">
        <f t="shared" si="0"/>
        <v>28957</v>
      </c>
      <c r="C22" s="5">
        <f>beö!AD65-D22</f>
        <v>26929</v>
      </c>
      <c r="D22" s="44">
        <f>bev!$D$297</f>
        <v>2028</v>
      </c>
    </row>
    <row r="23" spans="1:4" ht="12">
      <c r="A23" s="41" t="s">
        <v>946</v>
      </c>
      <c r="B23" s="5">
        <f t="shared" si="0"/>
        <v>1800</v>
      </c>
      <c r="C23" s="5">
        <f>beö!AD66</f>
        <v>1800</v>
      </c>
      <c r="D23" s="44"/>
    </row>
    <row r="24" spans="1:4" ht="12">
      <c r="A24" s="41" t="s">
        <v>218</v>
      </c>
      <c r="B24" s="5">
        <f t="shared" si="0"/>
        <v>0</v>
      </c>
      <c r="C24" s="5">
        <f>beö!AD67</f>
        <v>0</v>
      </c>
      <c r="D24" s="44"/>
    </row>
    <row r="25" spans="1:4" ht="12">
      <c r="A25" s="41" t="s">
        <v>274</v>
      </c>
      <c r="B25" s="5">
        <f t="shared" si="0"/>
        <v>0</v>
      </c>
      <c r="C25" s="5">
        <f>beö!AD68</f>
        <v>0</v>
      </c>
      <c r="D25" s="44"/>
    </row>
    <row r="26" spans="1:4" s="9" customFormat="1" ht="12">
      <c r="A26" s="2" t="s">
        <v>219</v>
      </c>
      <c r="B26" s="4">
        <f t="shared" si="0"/>
        <v>30757</v>
      </c>
      <c r="C26" s="4">
        <f>SUM(C22:C25)</f>
        <v>28729</v>
      </c>
      <c r="D26" s="8">
        <f>SUM(D22:D25)</f>
        <v>2028</v>
      </c>
    </row>
    <row r="27" spans="1:4" ht="12">
      <c r="A27" s="41" t="s">
        <v>1540</v>
      </c>
      <c r="B27" s="5">
        <f t="shared" si="0"/>
        <v>4</v>
      </c>
      <c r="C27" s="5">
        <f>beö!AD72</f>
        <v>4</v>
      </c>
      <c r="D27" s="44"/>
    </row>
    <row r="28" spans="1:4" s="61" customFormat="1" ht="12">
      <c r="A28" s="56" t="s">
        <v>220</v>
      </c>
      <c r="B28" s="58">
        <f t="shared" si="0"/>
        <v>33143</v>
      </c>
      <c r="C28" s="58">
        <f>C20+C26+C27</f>
        <v>29073</v>
      </c>
      <c r="D28" s="59">
        <f>D20+D26+D27</f>
        <v>4070</v>
      </c>
    </row>
    <row r="29" spans="1:4" ht="12">
      <c r="A29" s="41" t="s">
        <v>1630</v>
      </c>
      <c r="B29" s="5">
        <f t="shared" si="0"/>
        <v>0</v>
      </c>
      <c r="C29" s="5">
        <v>0</v>
      </c>
      <c r="D29" s="44">
        <f>beö!AD35</f>
        <v>0</v>
      </c>
    </row>
    <row r="30" spans="1:4" ht="12">
      <c r="A30" s="41" t="s">
        <v>1059</v>
      </c>
      <c r="B30" s="5">
        <f t="shared" si="0"/>
        <v>0</v>
      </c>
      <c r="C30" s="5"/>
      <c r="D30" s="44">
        <f>beö!AD36</f>
        <v>0</v>
      </c>
    </row>
    <row r="31" spans="1:4" ht="12">
      <c r="A31" s="41" t="s">
        <v>1060</v>
      </c>
      <c r="B31" s="5">
        <f t="shared" si="0"/>
        <v>0</v>
      </c>
      <c r="C31" s="5"/>
      <c r="D31" s="44">
        <f>beö!AD40</f>
        <v>0</v>
      </c>
    </row>
    <row r="32" spans="1:4" s="61" customFormat="1" ht="12">
      <c r="A32" s="56" t="s">
        <v>1061</v>
      </c>
      <c r="B32" s="58">
        <f t="shared" si="0"/>
        <v>0</v>
      </c>
      <c r="C32" s="58">
        <f>SUM(C29:C31)</f>
        <v>0</v>
      </c>
      <c r="D32" s="59">
        <f>SUM(D29:D31)</f>
        <v>0</v>
      </c>
    </row>
    <row r="33" spans="1:4" ht="12">
      <c r="A33" s="41" t="s">
        <v>1062</v>
      </c>
      <c r="B33" s="5">
        <f t="shared" si="0"/>
        <v>25341</v>
      </c>
      <c r="C33" s="5">
        <v>25341</v>
      </c>
      <c r="D33" s="44"/>
    </row>
    <row r="34" spans="1:4" ht="12">
      <c r="A34" s="41" t="s">
        <v>1063</v>
      </c>
      <c r="B34" s="5">
        <f t="shared" si="0"/>
        <v>0</v>
      </c>
      <c r="C34" s="5">
        <f>beö!AD75</f>
        <v>0</v>
      </c>
      <c r="D34" s="44"/>
    </row>
    <row r="35" spans="1:4" ht="12">
      <c r="A35" s="41" t="s">
        <v>1064</v>
      </c>
      <c r="B35" s="5">
        <f t="shared" si="0"/>
        <v>19599</v>
      </c>
      <c r="C35" s="5">
        <f>beö!AD78+beö!AD79</f>
        <v>19599</v>
      </c>
      <c r="D35" s="44"/>
    </row>
    <row r="36" spans="1:4" ht="12">
      <c r="A36" s="41" t="s">
        <v>1544</v>
      </c>
      <c r="B36" s="5">
        <f t="shared" si="0"/>
        <v>0</v>
      </c>
      <c r="C36" s="5">
        <f>beö!AD76</f>
        <v>0</v>
      </c>
      <c r="D36" s="44"/>
    </row>
    <row r="37" spans="1:4" ht="12">
      <c r="A37" s="41" t="s">
        <v>1065</v>
      </c>
      <c r="B37" s="5">
        <f t="shared" si="0"/>
        <v>0</v>
      </c>
      <c r="C37" s="5"/>
      <c r="D37" s="44">
        <f>beö!AD81</f>
        <v>0</v>
      </c>
    </row>
    <row r="38" spans="1:4" s="9" customFormat="1" ht="12">
      <c r="A38" s="2" t="s">
        <v>1066</v>
      </c>
      <c r="B38" s="4">
        <f t="shared" si="0"/>
        <v>44940</v>
      </c>
      <c r="C38" s="4">
        <f>SUM(C33:C37)</f>
        <v>44940</v>
      </c>
      <c r="D38" s="8">
        <f>SUM(D33:D37)</f>
        <v>0</v>
      </c>
    </row>
    <row r="39" spans="1:4" ht="12">
      <c r="A39" s="41" t="s">
        <v>1067</v>
      </c>
      <c r="B39" s="5">
        <f t="shared" si="0"/>
        <v>10</v>
      </c>
      <c r="C39" s="5">
        <f>beö!AD49</f>
        <v>10</v>
      </c>
      <c r="D39" s="44">
        <v>0</v>
      </c>
    </row>
    <row r="40" spans="1:4" ht="12">
      <c r="A40" s="41" t="s">
        <v>279</v>
      </c>
      <c r="B40" s="5">
        <f t="shared" si="0"/>
        <v>5275</v>
      </c>
      <c r="C40" s="5">
        <f>beö!AD55</f>
        <v>5275</v>
      </c>
      <c r="D40" s="44">
        <v>0</v>
      </c>
    </row>
    <row r="41" spans="1:4" s="9" customFormat="1" ht="12">
      <c r="A41" s="2" t="s">
        <v>232</v>
      </c>
      <c r="B41" s="4">
        <f t="shared" si="0"/>
        <v>5285</v>
      </c>
      <c r="C41" s="4">
        <f>SUM(C39:C40)</f>
        <v>5285</v>
      </c>
      <c r="D41" s="8">
        <f>SUM(D39:D40)</f>
        <v>0</v>
      </c>
    </row>
    <row r="42" spans="1:4" ht="12">
      <c r="A42" s="41" t="s">
        <v>233</v>
      </c>
      <c r="B42" s="5">
        <f t="shared" si="0"/>
        <v>0</v>
      </c>
      <c r="C42" s="5">
        <v>0</v>
      </c>
      <c r="D42" s="44">
        <f>beö!AD45</f>
        <v>0</v>
      </c>
    </row>
    <row r="43" spans="1:4" ht="12">
      <c r="A43" s="41" t="s">
        <v>265</v>
      </c>
      <c r="B43" s="5">
        <f t="shared" si="0"/>
        <v>0</v>
      </c>
      <c r="C43" s="5">
        <v>0</v>
      </c>
      <c r="D43" s="44"/>
    </row>
    <row r="44" spans="1:4" s="9" customFormat="1" ht="12">
      <c r="A44" s="2" t="s">
        <v>267</v>
      </c>
      <c r="B44" s="4">
        <f t="shared" si="0"/>
        <v>0</v>
      </c>
      <c r="C44" s="4">
        <f>SUM(C42:C43)</f>
        <v>0</v>
      </c>
      <c r="D44" s="8">
        <f>SUM(D42:D43)</f>
        <v>0</v>
      </c>
    </row>
    <row r="45" spans="1:4" s="61" customFormat="1" ht="12">
      <c r="A45" s="56" t="s">
        <v>268</v>
      </c>
      <c r="B45" s="58">
        <f t="shared" si="0"/>
        <v>50225</v>
      </c>
      <c r="C45" s="58">
        <f>C38+C41+C44</f>
        <v>50225</v>
      </c>
      <c r="D45" s="58">
        <f>D38+D41+D44</f>
        <v>0</v>
      </c>
    </row>
    <row r="46" spans="1:4" ht="12">
      <c r="A46" s="41" t="s">
        <v>1168</v>
      </c>
      <c r="B46" s="5">
        <f t="shared" si="0"/>
        <v>34209</v>
      </c>
      <c r="C46" s="5">
        <v>34209</v>
      </c>
      <c r="D46" s="44">
        <v>0</v>
      </c>
    </row>
    <row r="47" spans="1:4" ht="12">
      <c r="A47" s="41" t="s">
        <v>409</v>
      </c>
      <c r="B47" s="5">
        <f t="shared" si="0"/>
        <v>0</v>
      </c>
      <c r="C47" s="5"/>
      <c r="D47" s="44">
        <f>beö!AD88</f>
        <v>0</v>
      </c>
    </row>
    <row r="48" spans="1:4" ht="12">
      <c r="A48" s="41" t="s">
        <v>269</v>
      </c>
      <c r="B48" s="5">
        <f t="shared" si="0"/>
        <v>0</v>
      </c>
      <c r="C48" s="5">
        <v>0</v>
      </c>
      <c r="D48" s="44">
        <v>0</v>
      </c>
    </row>
    <row r="49" spans="1:4" s="61" customFormat="1" ht="12">
      <c r="A49" s="56" t="s">
        <v>270</v>
      </c>
      <c r="B49" s="58">
        <f t="shared" si="0"/>
        <v>34209</v>
      </c>
      <c r="C49" s="58">
        <f>SUM(C46:C48)</f>
        <v>34209</v>
      </c>
      <c r="D49" s="59">
        <f>SUM(D46:D48)</f>
        <v>0</v>
      </c>
    </row>
    <row r="50" spans="1:4" s="145" customFormat="1" ht="12">
      <c r="A50" s="148" t="s">
        <v>273</v>
      </c>
      <c r="B50" s="58">
        <f t="shared" si="0"/>
        <v>121253</v>
      </c>
      <c r="C50" s="147">
        <f>C14+C28+C32+C45+C49</f>
        <v>117183</v>
      </c>
      <c r="D50" s="149">
        <f>D14+D28+D32+D45+D49</f>
        <v>4070</v>
      </c>
    </row>
    <row r="51" spans="1:4" ht="12">
      <c r="A51" s="49"/>
      <c r="B51" s="51"/>
      <c r="C51" s="51"/>
      <c r="D51" s="53"/>
    </row>
  </sheetData>
  <mergeCells count="6">
    <mergeCell ref="A1:A6"/>
    <mergeCell ref="B1:D2"/>
    <mergeCell ref="C3:D4"/>
    <mergeCell ref="B3:B6"/>
    <mergeCell ref="C5:C6"/>
    <mergeCell ref="D5:D6"/>
  </mergeCells>
  <printOptions/>
  <pageMargins left="0.7874015748031497" right="0.7874015748031497" top="1.535433070866142" bottom="0.5511811023622047" header="0.5118110236220472" footer="0.2755905511811024"/>
  <pageSetup horizontalDpi="600" verticalDpi="600" orientation="portrait" paperSize="9" r:id="rId1"/>
  <headerFooter alignWithMargins="0">
    <oddHeader>&amp;C
&amp;"Arial,Félkövér dőlt"&amp;12Tiszagyulaháza község 2008.évi költségvetési bevételeinek
 részletezése bevételi forrásonként&amp;R&amp;"Arial,Dőlt"&amp;8 2.számú melléklet
adatok ezer forintban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46">
      <selection activeCell="F13" sqref="F13"/>
    </sheetView>
  </sheetViews>
  <sheetFormatPr defaultColWidth="9.00390625" defaultRowHeight="12.75"/>
  <cols>
    <col min="1" max="1" width="4.75390625" style="133" customWidth="1"/>
    <col min="2" max="2" width="4.75390625" style="37" customWidth="1"/>
    <col min="3" max="3" width="39.625" style="37" bestFit="1" customWidth="1"/>
    <col min="4" max="5" width="12.875" style="55" bestFit="1" customWidth="1"/>
    <col min="6" max="6" width="13.125" style="55" bestFit="1" customWidth="1"/>
    <col min="7" max="16384" width="9.125" style="37" customWidth="1"/>
  </cols>
  <sheetData>
    <row r="1" spans="1:6" ht="12">
      <c r="A1" s="365" t="s">
        <v>275</v>
      </c>
      <c r="B1" s="367"/>
      <c r="C1" s="324" t="s">
        <v>875</v>
      </c>
      <c r="D1" s="477" t="s">
        <v>276</v>
      </c>
      <c r="E1" s="477"/>
      <c r="F1" s="353"/>
    </row>
    <row r="2" spans="1:6" ht="12">
      <c r="A2" s="368"/>
      <c r="B2" s="370"/>
      <c r="C2" s="325"/>
      <c r="D2" s="479"/>
      <c r="E2" s="479"/>
      <c r="F2" s="480"/>
    </row>
    <row r="3" spans="1:6" ht="12">
      <c r="A3" s="468" t="s">
        <v>857</v>
      </c>
      <c r="B3" s="483" t="s">
        <v>277</v>
      </c>
      <c r="C3" s="325"/>
      <c r="D3" s="356" t="s">
        <v>782</v>
      </c>
      <c r="E3" s="477" t="s">
        <v>878</v>
      </c>
      <c r="F3" s="353"/>
    </row>
    <row r="4" spans="1:6" ht="12">
      <c r="A4" s="469"/>
      <c r="B4" s="483"/>
      <c r="C4" s="325"/>
      <c r="D4" s="357"/>
      <c r="E4" s="479"/>
      <c r="F4" s="480"/>
    </row>
    <row r="5" spans="1:6" ht="12">
      <c r="A5" s="469"/>
      <c r="B5" s="483"/>
      <c r="C5" s="325"/>
      <c r="D5" s="357"/>
      <c r="E5" s="356" t="s">
        <v>278</v>
      </c>
      <c r="F5" s="353" t="s">
        <v>880</v>
      </c>
    </row>
    <row r="6" spans="1:6" ht="12.75" thickBot="1">
      <c r="A6" s="470"/>
      <c r="B6" s="485"/>
      <c r="C6" s="326"/>
      <c r="D6" s="358"/>
      <c r="E6" s="358"/>
      <c r="F6" s="482"/>
    </row>
    <row r="7" spans="1:6" ht="12.75" thickTop="1">
      <c r="A7" s="38"/>
      <c r="B7" s="150"/>
      <c r="C7" s="41"/>
      <c r="D7" s="146"/>
      <c r="E7" s="5"/>
      <c r="F7" s="44"/>
    </row>
    <row r="8" spans="1:6" ht="12">
      <c r="A8" s="43"/>
      <c r="B8" s="42"/>
      <c r="C8" s="41"/>
      <c r="D8" s="5"/>
      <c r="E8" s="5"/>
      <c r="F8" s="44"/>
    </row>
    <row r="9" spans="1:6" ht="12">
      <c r="A9" s="43">
        <v>10</v>
      </c>
      <c r="B9" s="483" t="s">
        <v>299</v>
      </c>
      <c r="C9" s="56" t="s">
        <v>290</v>
      </c>
      <c r="D9" s="58">
        <f aca="true" t="shared" si="0" ref="D9:D14">E9+F9</f>
        <v>35811</v>
      </c>
      <c r="E9" s="58">
        <f>E10+E11+E12+E13+E14</f>
        <v>35811</v>
      </c>
      <c r="F9" s="59">
        <f>F10+F11+F12+F13+F14</f>
        <v>0</v>
      </c>
    </row>
    <row r="10" spans="1:6" ht="12">
      <c r="A10" s="43"/>
      <c r="B10" s="483"/>
      <c r="C10" s="41" t="s">
        <v>291</v>
      </c>
      <c r="D10" s="5">
        <f t="shared" si="0"/>
        <v>0</v>
      </c>
      <c r="E10" s="5">
        <f>beö!$E$31</f>
        <v>0</v>
      </c>
      <c r="F10" s="44"/>
    </row>
    <row r="11" spans="1:6" ht="12">
      <c r="A11" s="43"/>
      <c r="B11" s="483"/>
      <c r="C11" s="41" t="s">
        <v>292</v>
      </c>
      <c r="D11" s="5">
        <f t="shared" si="0"/>
        <v>0</v>
      </c>
      <c r="E11" s="5"/>
      <c r="F11" s="44"/>
    </row>
    <row r="12" spans="1:6" ht="12">
      <c r="A12" s="43"/>
      <c r="B12" s="483"/>
      <c r="C12" s="41" t="s">
        <v>293</v>
      </c>
      <c r="D12" s="5">
        <f t="shared" si="0"/>
        <v>0</v>
      </c>
      <c r="E12" s="5"/>
      <c r="F12" s="44">
        <f>beö!$E$41</f>
        <v>0</v>
      </c>
    </row>
    <row r="13" spans="1:6" ht="12">
      <c r="A13" s="43"/>
      <c r="B13" s="483"/>
      <c r="C13" s="41" t="s">
        <v>294</v>
      </c>
      <c r="D13" s="5">
        <f t="shared" si="0"/>
        <v>1602</v>
      </c>
      <c r="E13" s="5">
        <f>beö!$E$49+beö!$E$55</f>
        <v>1602</v>
      </c>
      <c r="F13" s="44">
        <f>beö!$E$45</f>
        <v>0</v>
      </c>
    </row>
    <row r="14" spans="1:6" ht="12">
      <c r="A14" s="43"/>
      <c r="B14" s="483"/>
      <c r="C14" s="41" t="s">
        <v>295</v>
      </c>
      <c r="D14" s="5">
        <f t="shared" si="0"/>
        <v>34209</v>
      </c>
      <c r="E14" s="5">
        <v>34209</v>
      </c>
      <c r="F14" s="44">
        <f>beö!$E$85+beö!$E$88</f>
        <v>0</v>
      </c>
    </row>
    <row r="15" spans="1:6" ht="12">
      <c r="A15" s="43"/>
      <c r="B15" s="42"/>
      <c r="C15" s="41"/>
      <c r="D15" s="5"/>
      <c r="E15" s="5"/>
      <c r="F15" s="44"/>
    </row>
    <row r="16" spans="1:6" ht="12">
      <c r="A16" s="43"/>
      <c r="B16" s="42"/>
      <c r="C16" s="41"/>
      <c r="D16" s="5"/>
      <c r="E16" s="5"/>
      <c r="F16" s="44"/>
    </row>
    <row r="17" spans="1:6" ht="12">
      <c r="A17" s="43">
        <v>11</v>
      </c>
      <c r="B17" s="484" t="s">
        <v>1519</v>
      </c>
      <c r="C17" s="56" t="s">
        <v>290</v>
      </c>
      <c r="D17" s="58">
        <f aca="true" t="shared" si="1" ref="D17:D22">E17+F17</f>
        <v>0</v>
      </c>
      <c r="E17" s="58">
        <f>E18+E19+E20+E21+E22</f>
        <v>0</v>
      </c>
      <c r="F17" s="59">
        <f>F18+F19+F20+F21+F22</f>
        <v>0</v>
      </c>
    </row>
    <row r="18" spans="1:6" ht="12">
      <c r="A18" s="43"/>
      <c r="B18" s="484"/>
      <c r="C18" s="41" t="s">
        <v>291</v>
      </c>
      <c r="D18" s="5">
        <f t="shared" si="1"/>
        <v>0</v>
      </c>
      <c r="E18" s="5">
        <f>beö!$H$31</f>
        <v>0</v>
      </c>
      <c r="F18" s="44"/>
    </row>
    <row r="19" spans="1:6" ht="12">
      <c r="A19" s="43"/>
      <c r="B19" s="484"/>
      <c r="C19" s="41" t="s">
        <v>292</v>
      </c>
      <c r="D19" s="5">
        <f t="shared" si="1"/>
        <v>0</v>
      </c>
      <c r="E19" s="5"/>
      <c r="F19" s="44"/>
    </row>
    <row r="20" spans="1:6" ht="12">
      <c r="A20" s="43"/>
      <c r="B20" s="484"/>
      <c r="C20" s="41" t="s">
        <v>293</v>
      </c>
      <c r="D20" s="5">
        <f t="shared" si="1"/>
        <v>0</v>
      </c>
      <c r="E20" s="5"/>
      <c r="F20" s="44">
        <f>beö!$H$41</f>
        <v>0</v>
      </c>
    </row>
    <row r="21" spans="1:6" ht="12">
      <c r="A21" s="43"/>
      <c r="B21" s="484"/>
      <c r="C21" s="41" t="s">
        <v>294</v>
      </c>
      <c r="D21" s="5">
        <f t="shared" si="1"/>
        <v>0</v>
      </c>
      <c r="E21" s="5">
        <f>beö!$H$49+beö!$H$55</f>
        <v>0</v>
      </c>
      <c r="F21" s="44">
        <f>beö!$H$45</f>
        <v>0</v>
      </c>
    </row>
    <row r="22" spans="1:6" ht="12">
      <c r="A22" s="43"/>
      <c r="B22" s="484"/>
      <c r="C22" s="41" t="s">
        <v>295</v>
      </c>
      <c r="D22" s="5">
        <f t="shared" si="1"/>
        <v>0</v>
      </c>
      <c r="E22" s="5">
        <f>beö!$H$84+beö!$H$87</f>
        <v>0</v>
      </c>
      <c r="F22" s="44">
        <f>beö!$H$85+beö!$H$88</f>
        <v>0</v>
      </c>
    </row>
    <row r="23" spans="1:6" ht="12">
      <c r="A23" s="43"/>
      <c r="B23" s="42"/>
      <c r="C23" s="41"/>
      <c r="D23" s="5"/>
      <c r="E23" s="5"/>
      <c r="F23" s="44"/>
    </row>
    <row r="24" spans="1:6" ht="12">
      <c r="A24" s="43">
        <v>12</v>
      </c>
      <c r="B24" s="483" t="s">
        <v>296</v>
      </c>
      <c r="C24" s="56" t="s">
        <v>290</v>
      </c>
      <c r="D24" s="58">
        <f aca="true" t="shared" si="2" ref="D24:D29">E24+F24</f>
        <v>99</v>
      </c>
      <c r="E24" s="58">
        <f>E25+E26+E27+E28+E29</f>
        <v>99</v>
      </c>
      <c r="F24" s="59">
        <f>F25+F26+F27+F28+F29</f>
        <v>0</v>
      </c>
    </row>
    <row r="25" spans="1:6" ht="12">
      <c r="A25" s="43"/>
      <c r="B25" s="483"/>
      <c r="C25" s="41" t="s">
        <v>291</v>
      </c>
      <c r="D25" s="5">
        <f t="shared" si="2"/>
        <v>99</v>
      </c>
      <c r="E25" s="5">
        <f>beö!$N$31</f>
        <v>99</v>
      </c>
      <c r="F25" s="44"/>
    </row>
    <row r="26" spans="1:6" ht="12">
      <c r="A26" s="43"/>
      <c r="B26" s="483"/>
      <c r="C26" s="41" t="s">
        <v>292</v>
      </c>
      <c r="D26" s="5">
        <f t="shared" si="2"/>
        <v>0</v>
      </c>
      <c r="E26" s="5"/>
      <c r="F26" s="44"/>
    </row>
    <row r="27" spans="1:6" ht="12">
      <c r="A27" s="43"/>
      <c r="B27" s="483"/>
      <c r="C27" s="41" t="s">
        <v>293</v>
      </c>
      <c r="D27" s="5">
        <f t="shared" si="2"/>
        <v>0</v>
      </c>
      <c r="E27" s="5"/>
      <c r="F27" s="44">
        <f>beö!$N$41</f>
        <v>0</v>
      </c>
    </row>
    <row r="28" spans="1:6" ht="12">
      <c r="A28" s="43"/>
      <c r="B28" s="483"/>
      <c r="C28" s="41" t="s">
        <v>294</v>
      </c>
      <c r="D28" s="5">
        <f t="shared" si="2"/>
        <v>0</v>
      </c>
      <c r="E28" s="5">
        <f>beö!$N$49+beö!$N$55</f>
        <v>0</v>
      </c>
      <c r="F28" s="44">
        <f>beö!$N$45</f>
        <v>0</v>
      </c>
    </row>
    <row r="29" spans="1:6" ht="12">
      <c r="A29" s="43"/>
      <c r="B29" s="483"/>
      <c r="C29" s="41" t="s">
        <v>295</v>
      </c>
      <c r="D29" s="5">
        <f t="shared" si="2"/>
        <v>0</v>
      </c>
      <c r="E29" s="5">
        <f>beö!$N$84+beö!$N$87</f>
        <v>0</v>
      </c>
      <c r="F29" s="44">
        <f>beö!$N$85+beö!$N$88</f>
        <v>0</v>
      </c>
    </row>
    <row r="30" spans="1:6" ht="12">
      <c r="A30" s="43"/>
      <c r="B30" s="42"/>
      <c r="C30" s="41"/>
      <c r="D30" s="5"/>
      <c r="E30" s="5"/>
      <c r="F30" s="44"/>
    </row>
    <row r="31" spans="1:6" ht="12">
      <c r="A31" s="43">
        <v>13</v>
      </c>
      <c r="B31" s="484" t="s">
        <v>301</v>
      </c>
      <c r="C31" s="56" t="s">
        <v>290</v>
      </c>
      <c r="D31" s="58">
        <f aca="true" t="shared" si="3" ref="D31:D36">E31+F31</f>
        <v>3683</v>
      </c>
      <c r="E31" s="58">
        <f>E32+E33+E34+E35+E36</f>
        <v>3683</v>
      </c>
      <c r="F31" s="59">
        <f>F32+F33+F34+F35+F36</f>
        <v>0</v>
      </c>
    </row>
    <row r="32" spans="1:6" ht="12">
      <c r="A32" s="43"/>
      <c r="B32" s="484"/>
      <c r="C32" s="41" t="s">
        <v>291</v>
      </c>
      <c r="D32" s="5">
        <f t="shared" si="3"/>
        <v>0</v>
      </c>
      <c r="E32" s="5">
        <f>beö!$U$31</f>
        <v>0</v>
      </c>
      <c r="F32" s="44"/>
    </row>
    <row r="33" spans="1:6" ht="12">
      <c r="A33" s="43"/>
      <c r="B33" s="484"/>
      <c r="C33" s="41" t="s">
        <v>292</v>
      </c>
      <c r="D33" s="5">
        <f t="shared" si="3"/>
        <v>0</v>
      </c>
      <c r="E33" s="5"/>
      <c r="F33" s="44"/>
    </row>
    <row r="34" spans="1:6" ht="12">
      <c r="A34" s="43"/>
      <c r="B34" s="484"/>
      <c r="C34" s="41" t="s">
        <v>293</v>
      </c>
      <c r="D34" s="5">
        <f t="shared" si="3"/>
        <v>0</v>
      </c>
      <c r="E34" s="5"/>
      <c r="F34" s="44">
        <f>beö!$U$41</f>
        <v>0</v>
      </c>
    </row>
    <row r="35" spans="1:6" ht="12">
      <c r="A35" s="43"/>
      <c r="B35" s="484"/>
      <c r="C35" s="41" t="s">
        <v>294</v>
      </c>
      <c r="D35" s="5">
        <f t="shared" si="3"/>
        <v>3683</v>
      </c>
      <c r="E35" s="5">
        <f>beö!$U$49+beö!$U$55</f>
        <v>3683</v>
      </c>
      <c r="F35" s="44">
        <f>beö!$U$45</f>
        <v>0</v>
      </c>
    </row>
    <row r="36" spans="1:6" ht="12">
      <c r="A36" s="43"/>
      <c r="B36" s="484"/>
      <c r="C36" s="41" t="s">
        <v>295</v>
      </c>
      <c r="D36" s="5">
        <f t="shared" si="3"/>
        <v>0</v>
      </c>
      <c r="E36" s="5">
        <f>beö!$U$84+beö!$U$87</f>
        <v>0</v>
      </c>
      <c r="F36" s="44">
        <f>beö!$U$85+beö!$U$88</f>
        <v>0</v>
      </c>
    </row>
    <row r="37" spans="1:6" ht="12">
      <c r="A37" s="43"/>
      <c r="B37" s="42"/>
      <c r="C37" s="41"/>
      <c r="D37" s="5"/>
      <c r="E37" s="5"/>
      <c r="F37" s="44"/>
    </row>
    <row r="38" spans="1:6" ht="12">
      <c r="A38" s="43">
        <v>14</v>
      </c>
      <c r="B38" s="483" t="s">
        <v>297</v>
      </c>
      <c r="C38" s="41" t="s">
        <v>290</v>
      </c>
      <c r="D38" s="58">
        <f aca="true" t="shared" si="4" ref="D38:D43">E38+F38</f>
        <v>3577</v>
      </c>
      <c r="E38" s="58">
        <f>E39+E40+E41+E42+E43</f>
        <v>3577</v>
      </c>
      <c r="F38" s="59">
        <f>F39+F40+F41+F42+F43</f>
        <v>0</v>
      </c>
    </row>
    <row r="39" spans="1:6" ht="12">
      <c r="A39" s="43"/>
      <c r="B39" s="483"/>
      <c r="C39" s="41" t="s">
        <v>291</v>
      </c>
      <c r="D39" s="5">
        <f t="shared" si="4"/>
        <v>3577</v>
      </c>
      <c r="E39" s="5">
        <f>beö!$Y$31</f>
        <v>3577</v>
      </c>
      <c r="F39" s="44"/>
    </row>
    <row r="40" spans="1:6" ht="12">
      <c r="A40" s="43"/>
      <c r="B40" s="483"/>
      <c r="C40" s="41" t="s">
        <v>292</v>
      </c>
      <c r="D40" s="5">
        <f t="shared" si="4"/>
        <v>0</v>
      </c>
      <c r="E40" s="5"/>
      <c r="F40" s="44"/>
    </row>
    <row r="41" spans="1:6" ht="12">
      <c r="A41" s="43"/>
      <c r="B41" s="483"/>
      <c r="C41" s="41" t="s">
        <v>293</v>
      </c>
      <c r="D41" s="5">
        <f t="shared" si="4"/>
        <v>0</v>
      </c>
      <c r="E41" s="5"/>
      <c r="F41" s="44">
        <f>beö!$Y$41</f>
        <v>0</v>
      </c>
    </row>
    <row r="42" spans="1:6" ht="12">
      <c r="A42" s="43"/>
      <c r="B42" s="483"/>
      <c r="C42" s="41" t="s">
        <v>294</v>
      </c>
      <c r="D42" s="5">
        <f t="shared" si="4"/>
        <v>0</v>
      </c>
      <c r="E42" s="5">
        <f>beö!$Y$49+beö!$Y$55</f>
        <v>0</v>
      </c>
      <c r="F42" s="44">
        <f>beö!$Y$45</f>
        <v>0</v>
      </c>
    </row>
    <row r="43" spans="1:6" ht="12">
      <c r="A43" s="43"/>
      <c r="B43" s="483"/>
      <c r="C43" s="41" t="s">
        <v>295</v>
      </c>
      <c r="D43" s="5">
        <f t="shared" si="4"/>
        <v>0</v>
      </c>
      <c r="E43" s="5">
        <f>beö!$Y$84+beö!$Y$87</f>
        <v>0</v>
      </c>
      <c r="F43" s="44">
        <f>beö!$Y$85+beö!$Y$88</f>
        <v>0</v>
      </c>
    </row>
    <row r="44" spans="1:6" ht="12">
      <c r="A44" s="132"/>
      <c r="B44" s="52"/>
      <c r="C44" s="49"/>
      <c r="D44" s="51"/>
      <c r="E44" s="51"/>
      <c r="F44" s="53"/>
    </row>
    <row r="45" spans="1:6" ht="12">
      <c r="A45" s="151"/>
      <c r="B45" s="87"/>
      <c r="C45" s="87"/>
      <c r="D45" s="152"/>
      <c r="E45" s="152"/>
      <c r="F45" s="152"/>
    </row>
    <row r="46" spans="1:6" ht="12">
      <c r="A46" s="151"/>
      <c r="B46" s="87"/>
      <c r="C46" s="87"/>
      <c r="D46" s="152"/>
      <c r="E46" s="152"/>
      <c r="F46" s="152"/>
    </row>
    <row r="47" spans="1:6" ht="12">
      <c r="A47" s="365" t="s">
        <v>275</v>
      </c>
      <c r="B47" s="367"/>
      <c r="C47" s="324" t="s">
        <v>875</v>
      </c>
      <c r="D47" s="477" t="s">
        <v>276</v>
      </c>
      <c r="E47" s="477"/>
      <c r="F47" s="353"/>
    </row>
    <row r="48" spans="1:6" ht="12">
      <c r="A48" s="368"/>
      <c r="B48" s="370"/>
      <c r="C48" s="325"/>
      <c r="D48" s="479"/>
      <c r="E48" s="479"/>
      <c r="F48" s="480"/>
    </row>
    <row r="49" spans="1:6" ht="12">
      <c r="A49" s="468" t="s">
        <v>857</v>
      </c>
      <c r="B49" s="468" t="s">
        <v>277</v>
      </c>
      <c r="C49" s="325"/>
      <c r="D49" s="356" t="s">
        <v>782</v>
      </c>
      <c r="E49" s="477" t="s">
        <v>878</v>
      </c>
      <c r="F49" s="353"/>
    </row>
    <row r="50" spans="1:6" ht="12">
      <c r="A50" s="469"/>
      <c r="B50" s="469"/>
      <c r="C50" s="325"/>
      <c r="D50" s="357"/>
      <c r="E50" s="479"/>
      <c r="F50" s="480"/>
    </row>
    <row r="51" spans="1:6" ht="12">
      <c r="A51" s="469"/>
      <c r="B51" s="469"/>
      <c r="C51" s="325"/>
      <c r="D51" s="357"/>
      <c r="E51" s="356" t="s">
        <v>278</v>
      </c>
      <c r="F51" s="353" t="s">
        <v>880</v>
      </c>
    </row>
    <row r="52" spans="1:6" ht="12.75" thickBot="1">
      <c r="A52" s="470"/>
      <c r="B52" s="470"/>
      <c r="C52" s="326"/>
      <c r="D52" s="358"/>
      <c r="E52" s="358"/>
      <c r="F52" s="482"/>
    </row>
    <row r="53" spans="1:6" ht="12.75" thickTop="1">
      <c r="A53" s="134"/>
      <c r="B53" s="41"/>
      <c r="C53" s="41"/>
      <c r="D53" s="5"/>
      <c r="E53" s="5"/>
      <c r="F53" s="44"/>
    </row>
    <row r="54" spans="1:6" ht="12">
      <c r="A54" s="43" t="s">
        <v>870</v>
      </c>
      <c r="B54" s="400" t="s">
        <v>300</v>
      </c>
      <c r="C54" s="41" t="s">
        <v>290</v>
      </c>
      <c r="D54" s="58">
        <f aca="true" t="shared" si="5" ref="D54:D59">E54+F54</f>
        <v>78083</v>
      </c>
      <c r="E54" s="58">
        <f>E55+E56+E57+E58+E59</f>
        <v>74013</v>
      </c>
      <c r="F54" s="59">
        <f>F55+F56+F57+F58+F59</f>
        <v>4070</v>
      </c>
    </row>
    <row r="55" spans="1:6" ht="12">
      <c r="A55" s="43"/>
      <c r="B55" s="400"/>
      <c r="C55" s="41" t="s">
        <v>291</v>
      </c>
      <c r="D55" s="5">
        <f t="shared" si="5"/>
        <v>0</v>
      </c>
      <c r="E55" s="5">
        <f>beö!$AC$31</f>
        <v>0</v>
      </c>
      <c r="F55" s="44"/>
    </row>
    <row r="56" spans="1:6" ht="12">
      <c r="A56" s="43"/>
      <c r="B56" s="400"/>
      <c r="C56" s="41" t="s">
        <v>292</v>
      </c>
      <c r="D56" s="5">
        <f t="shared" si="5"/>
        <v>33143</v>
      </c>
      <c r="E56" s="5">
        <f>beö!$AC$73-(bev!$D$297+bev!D275)</f>
        <v>29073</v>
      </c>
      <c r="F56" s="5">
        <f>(bev!$D$297+bev!D275)</f>
        <v>4070</v>
      </c>
    </row>
    <row r="57" spans="1:6" ht="12">
      <c r="A57" s="43"/>
      <c r="B57" s="400"/>
      <c r="C57" s="41" t="s">
        <v>293</v>
      </c>
      <c r="D57" s="5">
        <f t="shared" si="5"/>
        <v>0</v>
      </c>
      <c r="E57" s="5"/>
      <c r="F57" s="44">
        <f>beö!$AC$41</f>
        <v>0</v>
      </c>
    </row>
    <row r="58" spans="1:6" ht="12">
      <c r="A58" s="43"/>
      <c r="B58" s="400"/>
      <c r="C58" s="41" t="s">
        <v>294</v>
      </c>
      <c r="D58" s="5">
        <f t="shared" si="5"/>
        <v>44940</v>
      </c>
      <c r="E58" s="5">
        <v>44940</v>
      </c>
      <c r="F58" s="44">
        <f>beö!AC81+beö!AC82</f>
        <v>0</v>
      </c>
    </row>
    <row r="59" spans="1:6" ht="12">
      <c r="A59" s="43"/>
      <c r="B59" s="400"/>
      <c r="C59" s="41" t="s">
        <v>295</v>
      </c>
      <c r="D59" s="5">
        <f t="shared" si="5"/>
        <v>0</v>
      </c>
      <c r="E59" s="5">
        <f>beö!$AC$84+beö!$AC$87</f>
        <v>0</v>
      </c>
      <c r="F59" s="44">
        <f>beö!$AC$85+beö!$AC$88</f>
        <v>0</v>
      </c>
    </row>
    <row r="60" spans="1:6" ht="12">
      <c r="A60" s="43"/>
      <c r="B60" s="41"/>
      <c r="C60" s="41"/>
      <c r="D60" s="5"/>
      <c r="E60" s="5"/>
      <c r="F60" s="44"/>
    </row>
    <row r="61" spans="1:6" ht="12">
      <c r="A61" s="43"/>
      <c r="B61" s="41"/>
      <c r="C61" s="41"/>
      <c r="D61" s="5"/>
      <c r="E61" s="5"/>
      <c r="F61" s="44"/>
    </row>
    <row r="62" spans="1:6" ht="12">
      <c r="A62" s="43"/>
      <c r="B62" s="469" t="s">
        <v>298</v>
      </c>
      <c r="C62" s="56" t="s">
        <v>290</v>
      </c>
      <c r="D62" s="58">
        <f aca="true" t="shared" si="6" ref="D62:F68">D9+D17+D24+D31+D38+D54</f>
        <v>121253</v>
      </c>
      <c r="E62" s="58">
        <f t="shared" si="6"/>
        <v>117183</v>
      </c>
      <c r="F62" s="58">
        <f t="shared" si="6"/>
        <v>4070</v>
      </c>
    </row>
    <row r="63" spans="1:6" ht="12">
      <c r="A63" s="43"/>
      <c r="B63" s="469"/>
      <c r="C63" s="41" t="s">
        <v>291</v>
      </c>
      <c r="D63" s="5">
        <f t="shared" si="6"/>
        <v>3676</v>
      </c>
      <c r="E63" s="5">
        <f t="shared" si="6"/>
        <v>3676</v>
      </c>
      <c r="F63" s="5">
        <f t="shared" si="6"/>
        <v>0</v>
      </c>
    </row>
    <row r="64" spans="1:6" ht="12">
      <c r="A64" s="43"/>
      <c r="B64" s="469"/>
      <c r="C64" s="41" t="s">
        <v>292</v>
      </c>
      <c r="D64" s="5">
        <f t="shared" si="6"/>
        <v>33143</v>
      </c>
      <c r="E64" s="5">
        <f t="shared" si="6"/>
        <v>29073</v>
      </c>
      <c r="F64" s="5">
        <f t="shared" si="6"/>
        <v>4070</v>
      </c>
    </row>
    <row r="65" spans="1:6" ht="12">
      <c r="A65" s="43"/>
      <c r="B65" s="469"/>
      <c r="C65" s="41" t="s">
        <v>293</v>
      </c>
      <c r="D65" s="5">
        <f t="shared" si="6"/>
        <v>0</v>
      </c>
      <c r="E65" s="5">
        <f t="shared" si="6"/>
        <v>0</v>
      </c>
      <c r="F65" s="5">
        <f t="shared" si="6"/>
        <v>0</v>
      </c>
    </row>
    <row r="66" spans="1:6" ht="12">
      <c r="A66" s="43"/>
      <c r="B66" s="469"/>
      <c r="C66" s="41" t="s">
        <v>294</v>
      </c>
      <c r="D66" s="5">
        <f t="shared" si="6"/>
        <v>50225</v>
      </c>
      <c r="E66" s="5">
        <f t="shared" si="6"/>
        <v>50225</v>
      </c>
      <c r="F66" s="5">
        <f t="shared" si="6"/>
        <v>0</v>
      </c>
    </row>
    <row r="67" spans="1:6" ht="12">
      <c r="A67" s="43"/>
      <c r="B67" s="469"/>
      <c r="C67" s="41" t="s">
        <v>295</v>
      </c>
      <c r="D67" s="5">
        <f t="shared" si="6"/>
        <v>34209</v>
      </c>
      <c r="E67" s="5">
        <f>E14+E22+E29+E36+E43+E59</f>
        <v>34209</v>
      </c>
      <c r="F67" s="5">
        <f t="shared" si="6"/>
        <v>0</v>
      </c>
    </row>
    <row r="68" spans="1:6" ht="12">
      <c r="A68" s="43"/>
      <c r="B68" s="41"/>
      <c r="C68" s="41"/>
      <c r="D68" s="5">
        <f t="shared" si="6"/>
        <v>0</v>
      </c>
      <c r="E68" s="5">
        <f t="shared" si="6"/>
        <v>0</v>
      </c>
      <c r="F68" s="5">
        <f t="shared" si="6"/>
        <v>0</v>
      </c>
    </row>
    <row r="69" spans="1:6" ht="12">
      <c r="A69" s="132"/>
      <c r="B69" s="49"/>
      <c r="C69" s="49"/>
      <c r="D69" s="51"/>
      <c r="E69" s="51"/>
      <c r="F69" s="53"/>
    </row>
  </sheetData>
  <mergeCells count="25">
    <mergeCell ref="A1:B2"/>
    <mergeCell ref="D1:F2"/>
    <mergeCell ref="E3:F4"/>
    <mergeCell ref="A3:A6"/>
    <mergeCell ref="B3:B6"/>
    <mergeCell ref="D3:D6"/>
    <mergeCell ref="E5:E6"/>
    <mergeCell ref="C1:C6"/>
    <mergeCell ref="F5:F6"/>
    <mergeCell ref="B9:B14"/>
    <mergeCell ref="B62:B67"/>
    <mergeCell ref="B17:B22"/>
    <mergeCell ref="B24:B29"/>
    <mergeCell ref="B31:B36"/>
    <mergeCell ref="B38:B43"/>
    <mergeCell ref="B54:B59"/>
    <mergeCell ref="A47:B48"/>
    <mergeCell ref="C47:C52"/>
    <mergeCell ref="D47:F48"/>
    <mergeCell ref="A49:A52"/>
    <mergeCell ref="B49:B52"/>
    <mergeCell ref="D49:D52"/>
    <mergeCell ref="E49:F50"/>
    <mergeCell ref="E51:E52"/>
    <mergeCell ref="F51:F52"/>
  </mergeCells>
  <printOptions horizontalCentered="1"/>
  <pageMargins left="0.3937007874015748" right="0.3937007874015748" top="1.64" bottom="0.8267716535433072" header="0.5118110236220472" footer="0.5118110236220472"/>
  <pageSetup horizontalDpi="600" verticalDpi="600" orientation="portrait" paperSize="9" r:id="rId1"/>
  <headerFooter alignWithMargins="0">
    <oddHeader>&amp;C
&amp;"Arial,Félkövér dőlt"&amp;12Tiszagyulaháza község 2008.évi költségvetési bevételeinek 
részletezése bevételi forrásonként és költségvetési címenként&amp;R&amp;"Arial,Dőlt"&amp;8 3.számú melléklet
adatok ezer forintban</oddHeader>
    <oddFooter>&amp;C&amp;"Arial,Dőlt"&amp;8&amp;P. oldal</oddFooter>
  </headerFooter>
  <rowBreaks count="1" manualBreakCount="1">
    <brk id="4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37">
      <selection activeCell="B54" sqref="B54"/>
    </sheetView>
  </sheetViews>
  <sheetFormatPr defaultColWidth="9.00390625" defaultRowHeight="12.75"/>
  <cols>
    <col min="1" max="1" width="53.25390625" style="37" bestFit="1" customWidth="1"/>
    <col min="2" max="2" width="13.00390625" style="55" bestFit="1" customWidth="1"/>
    <col min="3" max="3" width="13.625" style="55" bestFit="1" customWidth="1"/>
    <col min="4" max="4" width="12.625" style="55" bestFit="1" customWidth="1"/>
    <col min="5" max="16384" width="9.125" style="37" customWidth="1"/>
  </cols>
  <sheetData>
    <row r="1" spans="1:4" ht="12">
      <c r="A1" s="324" t="s">
        <v>884</v>
      </c>
      <c r="B1" s="329" t="s">
        <v>876</v>
      </c>
      <c r="C1" s="477"/>
      <c r="D1" s="353"/>
    </row>
    <row r="2" spans="1:4" ht="12">
      <c r="A2" s="325"/>
      <c r="B2" s="478"/>
      <c r="C2" s="479"/>
      <c r="D2" s="480"/>
    </row>
    <row r="3" spans="1:4" ht="12">
      <c r="A3" s="325"/>
      <c r="B3" s="357" t="s">
        <v>877</v>
      </c>
      <c r="C3" s="329" t="s">
        <v>878</v>
      </c>
      <c r="D3" s="353"/>
    </row>
    <row r="4" spans="1:4" ht="12">
      <c r="A4" s="325"/>
      <c r="B4" s="357"/>
      <c r="C4" s="478"/>
      <c r="D4" s="480"/>
    </row>
    <row r="5" spans="1:4" ht="12">
      <c r="A5" s="325"/>
      <c r="B5" s="357"/>
      <c r="C5" s="357" t="s">
        <v>879</v>
      </c>
      <c r="D5" s="354" t="s">
        <v>280</v>
      </c>
    </row>
    <row r="6" spans="1:4" ht="12.75" thickBot="1">
      <c r="A6" s="326"/>
      <c r="B6" s="358"/>
      <c r="C6" s="358"/>
      <c r="D6" s="355"/>
    </row>
    <row r="7" spans="1:4" ht="12.75" thickTop="1">
      <c r="A7" s="41"/>
      <c r="B7" s="5"/>
      <c r="C7" s="5"/>
      <c r="D7" s="44"/>
    </row>
    <row r="8" spans="1:4" ht="12">
      <c r="A8" s="41" t="s">
        <v>798</v>
      </c>
      <c r="B8" s="5">
        <f aca="true" t="shared" si="0" ref="B8:B48">C8+D8</f>
        <v>18496</v>
      </c>
      <c r="C8" s="5">
        <f>kiö!$AH$10</f>
        <v>18496</v>
      </c>
      <c r="D8" s="44"/>
    </row>
    <row r="9" spans="1:4" ht="12">
      <c r="A9" s="41" t="s">
        <v>163</v>
      </c>
      <c r="B9" s="5">
        <f t="shared" si="0"/>
        <v>3337</v>
      </c>
      <c r="C9" s="5">
        <f>kiö!$AH$39</f>
        <v>3337</v>
      </c>
      <c r="D9" s="44"/>
    </row>
    <row r="10" spans="1:4" ht="12">
      <c r="A10" s="41" t="s">
        <v>347</v>
      </c>
      <c r="B10" s="5">
        <f t="shared" si="0"/>
        <v>2386</v>
      </c>
      <c r="C10" s="5">
        <f>kiö!$AH$46</f>
        <v>2386</v>
      </c>
      <c r="D10" s="44"/>
    </row>
    <row r="11" spans="1:4" s="61" customFormat="1" ht="12">
      <c r="A11" s="56" t="s">
        <v>1275</v>
      </c>
      <c r="B11" s="58">
        <f t="shared" si="0"/>
        <v>24219</v>
      </c>
      <c r="C11" s="58">
        <f>SUM(C8:C10)</f>
        <v>24219</v>
      </c>
      <c r="D11" s="59">
        <f>SUM(D8:D10)</f>
        <v>0</v>
      </c>
    </row>
    <row r="12" spans="1:4" ht="12">
      <c r="A12" s="41" t="s">
        <v>281</v>
      </c>
      <c r="B12" s="5">
        <f t="shared" si="0"/>
        <v>6204</v>
      </c>
      <c r="C12" s="5">
        <f>kiö!$AH$48</f>
        <v>6204</v>
      </c>
      <c r="D12" s="44"/>
    </row>
    <row r="13" spans="1:4" ht="12">
      <c r="A13" s="41" t="s">
        <v>885</v>
      </c>
      <c r="B13" s="5">
        <f t="shared" si="0"/>
        <v>573</v>
      </c>
      <c r="C13" s="5">
        <f>kiö!$AH$49</f>
        <v>573</v>
      </c>
      <c r="D13" s="44"/>
    </row>
    <row r="14" spans="1:4" ht="12">
      <c r="A14" s="41" t="s">
        <v>841</v>
      </c>
      <c r="B14" s="5">
        <f t="shared" si="0"/>
        <v>620</v>
      </c>
      <c r="C14" s="5">
        <f>kiö!$AH$50</f>
        <v>620</v>
      </c>
      <c r="D14" s="44"/>
    </row>
    <row r="15" spans="1:4" ht="12">
      <c r="A15" s="41" t="s">
        <v>886</v>
      </c>
      <c r="B15" s="5">
        <f t="shared" si="0"/>
        <v>0</v>
      </c>
      <c r="C15" s="5">
        <f>kiö!$AH$51</f>
        <v>0</v>
      </c>
      <c r="D15" s="44"/>
    </row>
    <row r="16" spans="1:4" ht="12">
      <c r="A16" s="41" t="s">
        <v>135</v>
      </c>
      <c r="B16" s="5">
        <f t="shared" si="0"/>
        <v>0</v>
      </c>
      <c r="C16" s="5"/>
      <c r="D16" s="44"/>
    </row>
    <row r="17" spans="1:4" s="61" customFormat="1" ht="12">
      <c r="A17" s="56" t="s">
        <v>200</v>
      </c>
      <c r="B17" s="58">
        <f t="shared" si="0"/>
        <v>7397</v>
      </c>
      <c r="C17" s="58">
        <f>SUM(C12:C16)</f>
        <v>7397</v>
      </c>
      <c r="D17" s="59">
        <f>SUM(D12:D16)</f>
        <v>0</v>
      </c>
    </row>
    <row r="18" spans="1:4" ht="12">
      <c r="A18" s="41" t="s">
        <v>845</v>
      </c>
      <c r="B18" s="5">
        <f>C18+D18</f>
        <v>4644</v>
      </c>
      <c r="C18" s="5">
        <f>kiö!$AH$67</f>
        <v>4644</v>
      </c>
      <c r="D18" s="44"/>
    </row>
    <row r="19" spans="1:4" ht="12">
      <c r="A19" s="41" t="s">
        <v>847</v>
      </c>
      <c r="B19" s="5">
        <f>C19+D19</f>
        <v>12213</v>
      </c>
      <c r="C19" s="5">
        <f>kiö!$AH$71+kiö!$AH$81+kiö!$AH$82</f>
        <v>12213</v>
      </c>
      <c r="D19" s="44"/>
    </row>
    <row r="20" spans="1:4" ht="12">
      <c r="A20" s="41" t="s">
        <v>201</v>
      </c>
      <c r="B20" s="5">
        <f t="shared" si="0"/>
        <v>3400</v>
      </c>
      <c r="C20" s="5">
        <f>kiö!$AH$87</f>
        <v>3400</v>
      </c>
      <c r="D20" s="44"/>
    </row>
    <row r="21" spans="1:4" ht="12">
      <c r="A21" s="41" t="s">
        <v>202</v>
      </c>
      <c r="B21" s="5">
        <f t="shared" si="0"/>
        <v>235</v>
      </c>
      <c r="C21" s="5">
        <f>kiö!$AH$91</f>
        <v>235</v>
      </c>
      <c r="D21" s="44"/>
    </row>
    <row r="22" spans="1:4" ht="12">
      <c r="A22" s="41" t="s">
        <v>303</v>
      </c>
      <c r="B22" s="5">
        <f t="shared" si="0"/>
        <v>755</v>
      </c>
      <c r="C22" s="5">
        <f>kiö!$AH$92</f>
        <v>755</v>
      </c>
      <c r="D22" s="44"/>
    </row>
    <row r="23" spans="1:4" s="61" customFormat="1" ht="12">
      <c r="A23" s="56" t="s">
        <v>304</v>
      </c>
      <c r="B23" s="58">
        <f t="shared" si="0"/>
        <v>21247</v>
      </c>
      <c r="C23" s="58">
        <f>SUM(C18:C22)</f>
        <v>21247</v>
      </c>
      <c r="D23" s="59">
        <f>SUM(D18:D22)</f>
        <v>0</v>
      </c>
    </row>
    <row r="24" spans="1:4" ht="12">
      <c r="A24" s="41" t="s">
        <v>203</v>
      </c>
      <c r="B24" s="5">
        <f t="shared" si="0"/>
        <v>0</v>
      </c>
      <c r="C24" s="5">
        <f>kiö!$AH$98</f>
        <v>0</v>
      </c>
      <c r="D24" s="44"/>
    </row>
    <row r="25" spans="1:4" ht="12">
      <c r="A25" s="41" t="s">
        <v>204</v>
      </c>
      <c r="B25" s="5">
        <f t="shared" si="0"/>
        <v>500</v>
      </c>
      <c r="C25" s="5">
        <f>kiö!$AH$102</f>
        <v>500</v>
      </c>
      <c r="D25" s="44"/>
    </row>
    <row r="26" spans="1:4" ht="12">
      <c r="A26" s="41" t="s">
        <v>205</v>
      </c>
      <c r="B26" s="5">
        <f t="shared" si="0"/>
        <v>2035</v>
      </c>
      <c r="C26" s="5">
        <f>kiö!$AH$105</f>
        <v>2035</v>
      </c>
      <c r="D26" s="44"/>
    </row>
    <row r="27" spans="1:4" s="61" customFormat="1" ht="12">
      <c r="A27" s="56" t="s">
        <v>305</v>
      </c>
      <c r="B27" s="58">
        <f t="shared" si="0"/>
        <v>2535</v>
      </c>
      <c r="C27" s="58">
        <f>SUM(C24:C26)</f>
        <v>2535</v>
      </c>
      <c r="D27" s="59">
        <v>0</v>
      </c>
    </row>
    <row r="28" spans="1:4" s="9" customFormat="1" ht="12">
      <c r="A28" s="2" t="s">
        <v>282</v>
      </c>
      <c r="B28" s="4">
        <f t="shared" si="0"/>
        <v>0</v>
      </c>
      <c r="C28" s="4">
        <f>kiö!$AH$108</f>
        <v>0</v>
      </c>
      <c r="D28" s="8">
        <v>0</v>
      </c>
    </row>
    <row r="29" spans="1:4" ht="12">
      <c r="A29" s="41" t="s">
        <v>206</v>
      </c>
      <c r="B29" s="5">
        <f t="shared" si="0"/>
        <v>210</v>
      </c>
      <c r="C29" s="5">
        <f>kiö!$AH$109</f>
        <v>210</v>
      </c>
      <c r="D29" s="44"/>
    </row>
    <row r="30" spans="1:4" ht="12">
      <c r="A30" s="41" t="s">
        <v>207</v>
      </c>
      <c r="B30" s="5">
        <f t="shared" si="0"/>
        <v>32288</v>
      </c>
      <c r="C30" s="5">
        <f>kiö!$AH$110</f>
        <v>32288</v>
      </c>
      <c r="D30" s="44"/>
    </row>
    <row r="31" spans="1:4" s="9" customFormat="1" ht="12">
      <c r="A31" s="2" t="s">
        <v>208</v>
      </c>
      <c r="B31" s="4">
        <f t="shared" si="0"/>
        <v>32498</v>
      </c>
      <c r="C31" s="4">
        <f>SUM(C29:C30)</f>
        <v>32498</v>
      </c>
      <c r="D31" s="8">
        <f>SUM(D29:D30)</f>
        <v>0</v>
      </c>
    </row>
    <row r="32" spans="1:4" ht="12">
      <c r="A32" s="41" t="s">
        <v>1468</v>
      </c>
      <c r="B32" s="5">
        <f t="shared" si="0"/>
        <v>500</v>
      </c>
      <c r="C32" s="5"/>
      <c r="D32" s="44">
        <f>kiö!$AH$111</f>
        <v>500</v>
      </c>
    </row>
    <row r="33" spans="1:4" ht="12">
      <c r="A33" s="41" t="s">
        <v>283</v>
      </c>
      <c r="B33" s="5">
        <f t="shared" si="0"/>
        <v>594</v>
      </c>
      <c r="C33" s="5"/>
      <c r="D33" s="44">
        <f>kiö!$AH$112</f>
        <v>594</v>
      </c>
    </row>
    <row r="34" spans="1:4" s="9" customFormat="1" ht="12">
      <c r="A34" s="2" t="s">
        <v>284</v>
      </c>
      <c r="B34" s="4">
        <f t="shared" si="0"/>
        <v>1094</v>
      </c>
      <c r="C34" s="4">
        <f>SUM(C32:C33)</f>
        <v>0</v>
      </c>
      <c r="D34" s="8">
        <f>SUM(D32:D33)</f>
        <v>1094</v>
      </c>
    </row>
    <row r="35" spans="1:4" s="9" customFormat="1" ht="12">
      <c r="A35" s="2" t="s">
        <v>285</v>
      </c>
      <c r="B35" s="4">
        <f t="shared" si="0"/>
        <v>21429</v>
      </c>
      <c r="C35" s="4">
        <f>kiö!$AH$129</f>
        <v>21429</v>
      </c>
      <c r="D35" s="8"/>
    </row>
    <row r="36" spans="1:4" s="61" customFormat="1" ht="12">
      <c r="A36" s="56" t="s">
        <v>210</v>
      </c>
      <c r="B36" s="58">
        <f t="shared" si="0"/>
        <v>55021</v>
      </c>
      <c r="C36" s="58">
        <f>C28+C31+C34+C35</f>
        <v>53927</v>
      </c>
      <c r="D36" s="59">
        <f>D28+D31+D34+D35</f>
        <v>1094</v>
      </c>
    </row>
    <row r="37" spans="1:4" ht="12">
      <c r="A37" s="41" t="s">
        <v>211</v>
      </c>
      <c r="B37" s="5">
        <f t="shared" si="0"/>
        <v>0</v>
      </c>
      <c r="C37" s="5"/>
      <c r="D37" s="44">
        <f>kiö!$AH$134</f>
        <v>0</v>
      </c>
    </row>
    <row r="38" spans="1:4" ht="12">
      <c r="A38" s="41" t="s">
        <v>212</v>
      </c>
      <c r="B38" s="5">
        <f t="shared" si="0"/>
        <v>0</v>
      </c>
      <c r="C38" s="5"/>
      <c r="D38" s="44">
        <f>kiö!$AH$138</f>
        <v>0</v>
      </c>
    </row>
    <row r="39" spans="1:4" s="61" customFormat="1" ht="12">
      <c r="A39" s="56" t="s">
        <v>213</v>
      </c>
      <c r="B39" s="58">
        <f t="shared" si="0"/>
        <v>0</v>
      </c>
      <c r="C39" s="58">
        <f>SUM(C37:C38)</f>
        <v>0</v>
      </c>
      <c r="D39" s="59">
        <f>SUM(D37:D38)</f>
        <v>0</v>
      </c>
    </row>
    <row r="40" spans="1:4" ht="12">
      <c r="A40" s="41" t="s">
        <v>214</v>
      </c>
      <c r="B40" s="5">
        <f t="shared" si="0"/>
        <v>0</v>
      </c>
      <c r="C40" s="5"/>
      <c r="D40" s="44">
        <f>kiö!$AH$143</f>
        <v>0</v>
      </c>
    </row>
    <row r="41" spans="1:4" ht="12">
      <c r="A41" s="41" t="s">
        <v>1016</v>
      </c>
      <c r="B41" s="5">
        <f t="shared" si="0"/>
        <v>0</v>
      </c>
      <c r="C41" s="5"/>
      <c r="D41" s="44">
        <f>kiö!$AH$148</f>
        <v>0</v>
      </c>
    </row>
    <row r="42" spans="1:4" s="61" customFormat="1" ht="12">
      <c r="A42" s="56" t="s">
        <v>1017</v>
      </c>
      <c r="B42" s="58">
        <f t="shared" si="0"/>
        <v>0</v>
      </c>
      <c r="C42" s="58">
        <f>SUM(C40:C41)</f>
        <v>0</v>
      </c>
      <c r="D42" s="59">
        <f>SUM(D40:D41)</f>
        <v>0</v>
      </c>
    </row>
    <row r="43" spans="1:4" ht="12">
      <c r="A43" s="41" t="s">
        <v>1020</v>
      </c>
      <c r="B43" s="5">
        <f t="shared" si="0"/>
        <v>8000</v>
      </c>
      <c r="C43" s="5">
        <f>kiö!$AH$154</f>
        <v>8000</v>
      </c>
      <c r="D43" s="44"/>
    </row>
    <row r="44" spans="1:4" ht="12">
      <c r="A44" s="41" t="s">
        <v>286</v>
      </c>
      <c r="B44" s="5">
        <f t="shared" si="0"/>
        <v>2334</v>
      </c>
      <c r="C44" s="5"/>
      <c r="D44" s="44">
        <f>kiö!$AH$155</f>
        <v>2334</v>
      </c>
    </row>
    <row r="45" spans="1:4" s="61" customFormat="1" ht="12">
      <c r="A45" s="56" t="s">
        <v>399</v>
      </c>
      <c r="B45" s="58">
        <f t="shared" si="0"/>
        <v>8000</v>
      </c>
      <c r="C45" s="58">
        <f>SUM(C43:C44)</f>
        <v>8000</v>
      </c>
      <c r="D45" s="59">
        <v>0</v>
      </c>
    </row>
    <row r="46" spans="1:4" ht="12">
      <c r="A46" s="41" t="s">
        <v>287</v>
      </c>
      <c r="B46" s="5">
        <f t="shared" si="0"/>
        <v>2334</v>
      </c>
      <c r="C46" s="5">
        <f>kiö!$AH$157</f>
        <v>0</v>
      </c>
      <c r="D46" s="44">
        <f>SUM(D43:D45)</f>
        <v>2334</v>
      </c>
    </row>
    <row r="47" spans="1:4" ht="12">
      <c r="A47" s="41" t="s">
        <v>288</v>
      </c>
      <c r="B47" s="5">
        <f t="shared" si="0"/>
        <v>500</v>
      </c>
      <c r="C47" s="5"/>
      <c r="D47" s="44">
        <f>kiö!$AH$158</f>
        <v>500</v>
      </c>
    </row>
    <row r="48" spans="1:4" s="61" customFormat="1" ht="12">
      <c r="A48" s="56" t="s">
        <v>289</v>
      </c>
      <c r="B48" s="58">
        <f t="shared" si="0"/>
        <v>2834</v>
      </c>
      <c r="C48" s="58">
        <f>SUM(C46:C47)</f>
        <v>0</v>
      </c>
      <c r="D48" s="59">
        <f>SUM(D46:D47)</f>
        <v>2834</v>
      </c>
    </row>
    <row r="49" spans="1:4" s="61" customFormat="1" ht="12">
      <c r="A49" s="56" t="s">
        <v>1019</v>
      </c>
      <c r="B49" s="58">
        <f>B11+B17+B23+B27+B36+B39+B42+B45+B48</f>
        <v>121253</v>
      </c>
      <c r="C49" s="58">
        <f>C11+C17+C23+C27+C36+C39+C42+C45+C48</f>
        <v>117325</v>
      </c>
      <c r="D49" s="59">
        <f>D11+D17+D23+D27+D36+D39+D42+D45+D48</f>
        <v>3928</v>
      </c>
    </row>
    <row r="50" spans="1:4" s="27" customFormat="1" ht="11.25">
      <c r="A50" s="30" t="s">
        <v>271</v>
      </c>
      <c r="B50" s="26">
        <f>B28</f>
        <v>0</v>
      </c>
      <c r="C50" s="26">
        <f>C28</f>
        <v>0</v>
      </c>
      <c r="D50" s="31">
        <f>D28</f>
        <v>0</v>
      </c>
    </row>
    <row r="51" spans="1:4" s="145" customFormat="1" ht="12">
      <c r="A51" s="148" t="s">
        <v>272</v>
      </c>
      <c r="B51" s="147">
        <f>B49-B50</f>
        <v>121253</v>
      </c>
      <c r="C51" s="147">
        <f>C49-C50</f>
        <v>117325</v>
      </c>
      <c r="D51" s="149">
        <f>D49-D50</f>
        <v>3928</v>
      </c>
    </row>
    <row r="52" spans="1:4" ht="12">
      <c r="A52" s="49"/>
      <c r="B52" s="51"/>
      <c r="C52" s="51"/>
      <c r="D52" s="53"/>
    </row>
    <row r="53" spans="1:2" ht="12">
      <c r="A53" s="87"/>
      <c r="B53" s="152"/>
    </row>
  </sheetData>
  <mergeCells count="6">
    <mergeCell ref="A1:A6"/>
    <mergeCell ref="B1:D2"/>
    <mergeCell ref="C3:D4"/>
    <mergeCell ref="C5:C6"/>
    <mergeCell ref="D5:D6"/>
    <mergeCell ref="B3:B6"/>
  </mergeCells>
  <printOptions horizontalCentered="1"/>
  <pageMargins left="0.3937007874015748" right="0.3937007874015748" top="1.62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dőlt"&amp;12Tiszagyulaháza 2008.évi költségvetési kiadásainak 
részletezése kiadási jogcímenként&amp;R&amp;"Arial,Dőlt"&amp;8 4.számú melléklet
adatok ezer forintban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67">
      <selection activeCell="I9" sqref="I9"/>
    </sheetView>
  </sheetViews>
  <sheetFormatPr defaultColWidth="9.00390625" defaultRowHeight="12.75"/>
  <cols>
    <col min="1" max="2" width="4.75390625" style="37" customWidth="1"/>
    <col min="3" max="3" width="31.125" style="37" bestFit="1" customWidth="1"/>
    <col min="4" max="5" width="12.875" style="55" bestFit="1" customWidth="1"/>
    <col min="6" max="6" width="11.875" style="55" bestFit="1" customWidth="1"/>
    <col min="7" max="16384" width="9.125" style="37" customWidth="1"/>
  </cols>
  <sheetData>
    <row r="1" spans="1:6" ht="12">
      <c r="A1" s="365" t="s">
        <v>275</v>
      </c>
      <c r="B1" s="367"/>
      <c r="C1" s="324" t="s">
        <v>884</v>
      </c>
      <c r="D1" s="329" t="s">
        <v>876</v>
      </c>
      <c r="E1" s="477"/>
      <c r="F1" s="353"/>
    </row>
    <row r="2" spans="1:6" ht="12">
      <c r="A2" s="368"/>
      <c r="B2" s="370"/>
      <c r="C2" s="325"/>
      <c r="D2" s="478"/>
      <c r="E2" s="479"/>
      <c r="F2" s="480"/>
    </row>
    <row r="3" spans="1:6" ht="12">
      <c r="A3" s="469" t="s">
        <v>857</v>
      </c>
      <c r="B3" s="483" t="s">
        <v>277</v>
      </c>
      <c r="C3" s="325"/>
      <c r="D3" s="357" t="s">
        <v>782</v>
      </c>
      <c r="E3" s="329" t="s">
        <v>878</v>
      </c>
      <c r="F3" s="353"/>
    </row>
    <row r="4" spans="1:6" ht="12">
      <c r="A4" s="469"/>
      <c r="B4" s="483"/>
      <c r="C4" s="325"/>
      <c r="D4" s="357"/>
      <c r="E4" s="478"/>
      <c r="F4" s="480"/>
    </row>
    <row r="5" spans="1:6" ht="12">
      <c r="A5" s="469"/>
      <c r="B5" s="483"/>
      <c r="C5" s="325"/>
      <c r="D5" s="357"/>
      <c r="E5" s="357" t="s">
        <v>1021</v>
      </c>
      <c r="F5" s="354" t="s">
        <v>880</v>
      </c>
    </row>
    <row r="6" spans="1:6" ht="12.75" thickBot="1">
      <c r="A6" s="470"/>
      <c r="B6" s="485"/>
      <c r="C6" s="326"/>
      <c r="D6" s="358"/>
      <c r="E6" s="358"/>
      <c r="F6" s="355"/>
    </row>
    <row r="7" spans="1:6" ht="12.75" thickTop="1">
      <c r="A7" s="41"/>
      <c r="B7" s="42"/>
      <c r="C7" s="41"/>
      <c r="D7" s="5"/>
      <c r="E7" s="5"/>
      <c r="F7" s="44"/>
    </row>
    <row r="8" spans="1:6" ht="12">
      <c r="A8" s="43">
        <v>10</v>
      </c>
      <c r="B8" s="483" t="s">
        <v>1022</v>
      </c>
      <c r="C8" s="56" t="s">
        <v>1023</v>
      </c>
      <c r="D8" s="58">
        <f>SUM(D9:D15)</f>
        <v>62747</v>
      </c>
      <c r="E8" s="58">
        <f>E9+E10+E11+E12+E13+E14+E15</f>
        <v>58836</v>
      </c>
      <c r="F8" s="59">
        <f>F9+F10+F11+F12+F13+F14+F15</f>
        <v>3911</v>
      </c>
    </row>
    <row r="9" spans="1:6" ht="12">
      <c r="A9" s="41"/>
      <c r="B9" s="483"/>
      <c r="C9" s="41" t="s">
        <v>221</v>
      </c>
      <c r="D9" s="5">
        <f aca="true" t="shared" si="0" ref="D9:D16">E9+F9</f>
        <v>10866</v>
      </c>
      <c r="E9" s="5">
        <f>kiö!$E$47</f>
        <v>10866</v>
      </c>
      <c r="F9" s="44"/>
    </row>
    <row r="10" spans="1:6" ht="12">
      <c r="A10" s="41"/>
      <c r="B10" s="483"/>
      <c r="C10" s="41" t="s">
        <v>222</v>
      </c>
      <c r="D10" s="5">
        <f t="shared" si="0"/>
        <v>3282</v>
      </c>
      <c r="E10" s="5">
        <f>kiö!$E$54</f>
        <v>3282</v>
      </c>
      <c r="F10" s="44"/>
    </row>
    <row r="11" spans="1:6" ht="12">
      <c r="A11" s="41"/>
      <c r="B11" s="483"/>
      <c r="C11" s="41" t="s">
        <v>223</v>
      </c>
      <c r="D11" s="5">
        <f t="shared" si="0"/>
        <v>5984</v>
      </c>
      <c r="E11" s="5">
        <v>5984</v>
      </c>
      <c r="F11" s="44"/>
    </row>
    <row r="12" spans="1:6" ht="12">
      <c r="A12" s="41"/>
      <c r="B12" s="483"/>
      <c r="C12" s="41" t="s">
        <v>305</v>
      </c>
      <c r="D12" s="5">
        <f t="shared" si="0"/>
        <v>2535</v>
      </c>
      <c r="E12" s="5">
        <f>kiö!$E$106</f>
        <v>2535</v>
      </c>
      <c r="F12" s="44"/>
    </row>
    <row r="13" spans="1:6" ht="12">
      <c r="A13" s="41"/>
      <c r="B13" s="483"/>
      <c r="C13" s="41" t="s">
        <v>210</v>
      </c>
      <c r="D13" s="5">
        <f t="shared" si="0"/>
        <v>29246</v>
      </c>
      <c r="E13" s="5">
        <f>kiö!$E$108+kiö!$E$109+kiö!$E$110+kiö!$E$129</f>
        <v>28169</v>
      </c>
      <c r="F13" s="44">
        <f>kiö!$E$111+kiö!$E$112</f>
        <v>1077</v>
      </c>
    </row>
    <row r="14" spans="1:6" ht="12">
      <c r="A14" s="41"/>
      <c r="B14" s="483"/>
      <c r="C14" s="41" t="s">
        <v>340</v>
      </c>
      <c r="D14" s="5">
        <f t="shared" si="0"/>
        <v>0</v>
      </c>
      <c r="E14" s="5"/>
      <c r="F14" s="44">
        <f>kiö!$E$134+kiö!$E$138+kiö!$E$143+kiö!$E$148+kiö!$E$152</f>
        <v>0</v>
      </c>
    </row>
    <row r="15" spans="1:6" ht="12">
      <c r="A15" s="41"/>
      <c r="B15" s="483"/>
      <c r="C15" s="41" t="s">
        <v>224</v>
      </c>
      <c r="D15" s="5">
        <f t="shared" si="0"/>
        <v>10834</v>
      </c>
      <c r="E15" s="5">
        <f>kiö!$E$154+kiö!$E$157</f>
        <v>8000</v>
      </c>
      <c r="F15" s="44">
        <f>kiö!$E$155+kiö!$E$158</f>
        <v>2834</v>
      </c>
    </row>
    <row r="16" spans="1:6" ht="12">
      <c r="A16" s="41"/>
      <c r="B16" s="483"/>
      <c r="C16" s="41" t="s">
        <v>225</v>
      </c>
      <c r="D16" s="5">
        <f t="shared" si="0"/>
        <v>2</v>
      </c>
      <c r="E16" s="5">
        <v>2</v>
      </c>
      <c r="F16" s="44">
        <v>0</v>
      </c>
    </row>
    <row r="17" spans="1:6" ht="12">
      <c r="A17" s="41"/>
      <c r="B17" s="42"/>
      <c r="C17" s="41"/>
      <c r="D17" s="5"/>
      <c r="E17" s="5"/>
      <c r="F17" s="44"/>
    </row>
    <row r="18" spans="1:6" ht="12">
      <c r="A18" s="41"/>
      <c r="B18" s="42"/>
      <c r="C18" s="41"/>
      <c r="D18" s="5"/>
      <c r="E18" s="5"/>
      <c r="F18" s="44"/>
    </row>
    <row r="19" spans="1:6" ht="12">
      <c r="A19" s="41">
        <v>11</v>
      </c>
      <c r="B19" s="400" t="s">
        <v>1434</v>
      </c>
      <c r="C19" s="56" t="s">
        <v>1023</v>
      </c>
      <c r="D19" s="58">
        <f aca="true" t="shared" si="1" ref="D19:D27">E19+F19</f>
        <v>6500</v>
      </c>
      <c r="E19" s="58">
        <f>E20+E21+E22+E23+E24+E25+E26</f>
        <v>6500</v>
      </c>
      <c r="F19" s="59">
        <f>F20+F21+F22+F23+F24+F25+F26</f>
        <v>0</v>
      </c>
    </row>
    <row r="20" spans="1:6" ht="12">
      <c r="A20" s="41"/>
      <c r="B20" s="400"/>
      <c r="C20" s="41" t="s">
        <v>221</v>
      </c>
      <c r="D20" s="5">
        <f t="shared" si="1"/>
        <v>1369</v>
      </c>
      <c r="E20" s="5">
        <f>kiö!$H$47</f>
        <v>1369</v>
      </c>
      <c r="F20" s="44"/>
    </row>
    <row r="21" spans="1:6" ht="12">
      <c r="A21" s="41"/>
      <c r="B21" s="400"/>
      <c r="C21" s="41" t="s">
        <v>222</v>
      </c>
      <c r="D21" s="5">
        <f t="shared" si="1"/>
        <v>415</v>
      </c>
      <c r="E21" s="5">
        <f>kiö!$H$54</f>
        <v>415</v>
      </c>
      <c r="F21" s="44"/>
    </row>
    <row r="22" spans="1:6" ht="12">
      <c r="A22" s="41"/>
      <c r="B22" s="400"/>
      <c r="C22" s="41" t="s">
        <v>223</v>
      </c>
      <c r="D22" s="5">
        <f t="shared" si="1"/>
        <v>4716</v>
      </c>
      <c r="E22" s="5">
        <f>kiö!$H$93</f>
        <v>4716</v>
      </c>
      <c r="F22" s="44"/>
    </row>
    <row r="23" spans="1:6" ht="12">
      <c r="A23" s="41"/>
      <c r="B23" s="400"/>
      <c r="C23" s="41" t="s">
        <v>305</v>
      </c>
      <c r="D23" s="5">
        <f t="shared" si="1"/>
        <v>0</v>
      </c>
      <c r="E23" s="5">
        <f>kiö!$H$106</f>
        <v>0</v>
      </c>
      <c r="F23" s="44"/>
    </row>
    <row r="24" spans="1:6" ht="12">
      <c r="A24" s="41"/>
      <c r="B24" s="400"/>
      <c r="C24" s="41" t="s">
        <v>210</v>
      </c>
      <c r="D24" s="5">
        <f t="shared" si="1"/>
        <v>0</v>
      </c>
      <c r="E24" s="5">
        <f>kiö!$H$108+kiö!$H$109+kiö!$H$110+kiö!$H$129</f>
        <v>0</v>
      </c>
      <c r="F24" s="44">
        <f>kiö!$H$111+kiö!$H$112</f>
        <v>0</v>
      </c>
    </row>
    <row r="25" spans="1:6" ht="12">
      <c r="A25" s="41"/>
      <c r="B25" s="400"/>
      <c r="C25" s="41" t="s">
        <v>340</v>
      </c>
      <c r="D25" s="5">
        <f t="shared" si="1"/>
        <v>0</v>
      </c>
      <c r="E25" s="5"/>
      <c r="F25" s="44">
        <f>kiö!$H$134+kiö!$H$138+kiö!$H$143+kiö!$H$148+kiö!$H$152</f>
        <v>0</v>
      </c>
    </row>
    <row r="26" spans="1:6" ht="12">
      <c r="A26" s="41"/>
      <c r="B26" s="400"/>
      <c r="C26" s="41" t="s">
        <v>1018</v>
      </c>
      <c r="D26" s="5">
        <f t="shared" si="1"/>
        <v>0</v>
      </c>
      <c r="E26" s="5">
        <f>kiö!$H$154+kiö!$H$157</f>
        <v>0</v>
      </c>
      <c r="F26" s="44">
        <f>kiö!$H$155+kiö!$H$158</f>
        <v>0</v>
      </c>
    </row>
    <row r="27" spans="1:6" ht="12">
      <c r="A27" s="41"/>
      <c r="B27" s="400"/>
      <c r="C27" s="41" t="s">
        <v>225</v>
      </c>
      <c r="D27" s="5">
        <f t="shared" si="1"/>
        <v>1</v>
      </c>
      <c r="E27" s="5">
        <v>1</v>
      </c>
      <c r="F27" s="44"/>
    </row>
    <row r="28" spans="1:6" ht="12">
      <c r="A28" s="41"/>
      <c r="B28" s="42"/>
      <c r="C28" s="41"/>
      <c r="D28" s="5"/>
      <c r="E28" s="5"/>
      <c r="F28" s="44"/>
    </row>
    <row r="29" spans="1:6" ht="12">
      <c r="A29" s="43">
        <v>12</v>
      </c>
      <c r="B29" s="483" t="s">
        <v>226</v>
      </c>
      <c r="C29" s="56" t="s">
        <v>1023</v>
      </c>
      <c r="D29" s="58">
        <f aca="true" t="shared" si="2" ref="D29:D37">E29+F29</f>
        <v>5805</v>
      </c>
      <c r="E29" s="58">
        <f>E30+E31+E32+E33+E34+E35+E36</f>
        <v>5805</v>
      </c>
      <c r="F29" s="59">
        <f>F30+F31+F32+F33+F34+F35+F36</f>
        <v>0</v>
      </c>
    </row>
    <row r="30" spans="1:6" ht="12">
      <c r="A30" s="41"/>
      <c r="B30" s="483"/>
      <c r="C30" s="41" t="s">
        <v>221</v>
      </c>
      <c r="D30" s="5">
        <f t="shared" si="2"/>
        <v>1306</v>
      </c>
      <c r="E30" s="5">
        <f>kiö!$O$47</f>
        <v>1306</v>
      </c>
      <c r="F30" s="44"/>
    </row>
    <row r="31" spans="1:6" ht="12">
      <c r="A31" s="41"/>
      <c r="B31" s="483"/>
      <c r="C31" s="41" t="s">
        <v>222</v>
      </c>
      <c r="D31" s="5">
        <f t="shared" si="2"/>
        <v>401</v>
      </c>
      <c r="E31" s="5">
        <f>kiö!$O$54</f>
        <v>401</v>
      </c>
      <c r="F31" s="44"/>
    </row>
    <row r="32" spans="1:6" ht="12">
      <c r="A32" s="41"/>
      <c r="B32" s="483"/>
      <c r="C32" s="41" t="s">
        <v>223</v>
      </c>
      <c r="D32" s="5">
        <f t="shared" si="2"/>
        <v>4098</v>
      </c>
      <c r="E32" s="5">
        <f>kiö!$O$93</f>
        <v>4098</v>
      </c>
      <c r="F32" s="44"/>
    </row>
    <row r="33" spans="1:6" ht="12">
      <c r="A33" s="41"/>
      <c r="B33" s="483"/>
      <c r="C33" s="41" t="s">
        <v>305</v>
      </c>
      <c r="D33" s="5">
        <f t="shared" si="2"/>
        <v>0</v>
      </c>
      <c r="E33" s="5">
        <f>kiö!$O$106</f>
        <v>0</v>
      </c>
      <c r="F33" s="44"/>
    </row>
    <row r="34" spans="1:6" ht="12">
      <c r="A34" s="41"/>
      <c r="B34" s="483"/>
      <c r="C34" s="41" t="s">
        <v>210</v>
      </c>
      <c r="D34" s="5">
        <f t="shared" si="2"/>
        <v>0</v>
      </c>
      <c r="E34" s="5">
        <f>kiö!$O$108+kiö!$O$109+kiö!$O$110+kiö!$O$129</f>
        <v>0</v>
      </c>
      <c r="F34" s="44">
        <f>kiö!$O$111+kiö!$O$112</f>
        <v>0</v>
      </c>
    </row>
    <row r="35" spans="1:6" ht="12">
      <c r="A35" s="41"/>
      <c r="B35" s="483"/>
      <c r="C35" s="41" t="s">
        <v>340</v>
      </c>
      <c r="D35" s="5">
        <f t="shared" si="2"/>
        <v>0</v>
      </c>
      <c r="E35" s="5"/>
      <c r="F35" s="44">
        <f>kiö!$O$134+kiö!$O$138+kiö!$O$143+kiö!$O$148+kiö!$O$152</f>
        <v>0</v>
      </c>
    </row>
    <row r="36" spans="1:6" ht="12">
      <c r="A36" s="41"/>
      <c r="B36" s="483"/>
      <c r="C36" s="41" t="s">
        <v>1018</v>
      </c>
      <c r="D36" s="5">
        <f t="shared" si="2"/>
        <v>0</v>
      </c>
      <c r="E36" s="5">
        <f>kiö!$O$154+kiö!$O$157</f>
        <v>0</v>
      </c>
      <c r="F36" s="44">
        <f>kiö!$O$155+kiö!$O$158</f>
        <v>0</v>
      </c>
    </row>
    <row r="37" spans="1:6" ht="12">
      <c r="A37" s="41"/>
      <c r="B37" s="483"/>
      <c r="C37" s="41" t="s">
        <v>225</v>
      </c>
      <c r="D37" s="5">
        <f t="shared" si="2"/>
        <v>1</v>
      </c>
      <c r="E37" s="5">
        <v>1</v>
      </c>
      <c r="F37" s="44"/>
    </row>
    <row r="38" spans="1:6" ht="12">
      <c r="A38" s="41"/>
      <c r="B38" s="42"/>
      <c r="C38" s="41"/>
      <c r="D38" s="5"/>
      <c r="E38" s="5"/>
      <c r="F38" s="44"/>
    </row>
    <row r="39" spans="1:6" ht="12">
      <c r="A39" s="41">
        <v>13</v>
      </c>
      <c r="B39" s="483" t="s">
        <v>227</v>
      </c>
      <c r="C39" s="56" t="s">
        <v>1023</v>
      </c>
      <c r="D39" s="58">
        <f aca="true" t="shared" si="3" ref="D39:D47">E39+F39</f>
        <v>31892</v>
      </c>
      <c r="E39" s="58">
        <f>E40+E41+E42+E43+E44+E45+E46</f>
        <v>31875</v>
      </c>
      <c r="F39" s="59">
        <f>F40+F41+F42+F43+F44+F45+F46</f>
        <v>17</v>
      </c>
    </row>
    <row r="40" spans="1:6" ht="12">
      <c r="A40" s="41"/>
      <c r="B40" s="483"/>
      <c r="C40" s="41" t="s">
        <v>221</v>
      </c>
      <c r="D40" s="5">
        <f t="shared" si="3"/>
        <v>4366</v>
      </c>
      <c r="E40" s="5">
        <f>kiö!$X$47</f>
        <v>4366</v>
      </c>
      <c r="F40" s="44"/>
    </row>
    <row r="41" spans="1:6" ht="12">
      <c r="A41" s="41"/>
      <c r="B41" s="483"/>
      <c r="C41" s="41" t="s">
        <v>222</v>
      </c>
      <c r="D41" s="5">
        <f t="shared" si="3"/>
        <v>1415</v>
      </c>
      <c r="E41" s="5">
        <f>kiö!$X$54</f>
        <v>1415</v>
      </c>
      <c r="F41" s="44"/>
    </row>
    <row r="42" spans="1:6" ht="12">
      <c r="A42" s="41"/>
      <c r="B42" s="483"/>
      <c r="C42" s="41" t="s">
        <v>223</v>
      </c>
      <c r="D42" s="5">
        <f t="shared" si="3"/>
        <v>381</v>
      </c>
      <c r="E42" s="5">
        <f>kiö!$X$93</f>
        <v>381</v>
      </c>
      <c r="F42" s="44"/>
    </row>
    <row r="43" spans="1:6" ht="12">
      <c r="A43" s="41"/>
      <c r="B43" s="483"/>
      <c r="C43" s="41" t="s">
        <v>305</v>
      </c>
      <c r="D43" s="5">
        <f t="shared" si="3"/>
        <v>0</v>
      </c>
      <c r="E43" s="5">
        <f>kiö!$X$106</f>
        <v>0</v>
      </c>
      <c r="F43" s="44"/>
    </row>
    <row r="44" spans="1:6" ht="12">
      <c r="A44" s="41"/>
      <c r="B44" s="483"/>
      <c r="C44" s="41" t="s">
        <v>210</v>
      </c>
      <c r="D44" s="5">
        <f t="shared" si="3"/>
        <v>25730</v>
      </c>
      <c r="E44" s="5">
        <f>kiö!$X$108+kiö!$X$109+kiö!$X$110+kiö!$X$129</f>
        <v>25713</v>
      </c>
      <c r="F44" s="44">
        <f>kiö!$X$111+kiö!$X$112</f>
        <v>17</v>
      </c>
    </row>
    <row r="45" spans="1:6" ht="12">
      <c r="A45" s="41"/>
      <c r="B45" s="483"/>
      <c r="C45" s="41" t="s">
        <v>340</v>
      </c>
      <c r="D45" s="5">
        <f t="shared" si="3"/>
        <v>0</v>
      </c>
      <c r="E45" s="5"/>
      <c r="F45" s="44">
        <f>kiö!$X$134+kiö!$X$138+kiö!$X$143+kiö!$X$148+kiö!$X$152</f>
        <v>0</v>
      </c>
    </row>
    <row r="46" spans="1:6" ht="12">
      <c r="A46" s="41"/>
      <c r="B46" s="483"/>
      <c r="C46" s="41" t="s">
        <v>1018</v>
      </c>
      <c r="D46" s="5">
        <f t="shared" si="3"/>
        <v>0</v>
      </c>
      <c r="E46" s="5">
        <f>kiö!$X$154+kiö!$X$157</f>
        <v>0</v>
      </c>
      <c r="F46" s="44">
        <f>kiö!$X$155+kiö!$X$158</f>
        <v>0</v>
      </c>
    </row>
    <row r="47" spans="1:6" ht="12">
      <c r="A47" s="41"/>
      <c r="B47" s="483"/>
      <c r="C47" s="41" t="s">
        <v>225</v>
      </c>
      <c r="D47" s="5">
        <f t="shared" si="3"/>
        <v>6</v>
      </c>
      <c r="E47" s="5">
        <v>6</v>
      </c>
      <c r="F47" s="44"/>
    </row>
    <row r="48" spans="1:6" ht="12">
      <c r="A48" s="49"/>
      <c r="B48" s="52"/>
      <c r="C48" s="49"/>
      <c r="D48" s="51"/>
      <c r="E48" s="51"/>
      <c r="F48" s="53"/>
    </row>
    <row r="49" spans="1:6" ht="12">
      <c r="A49" s="365" t="s">
        <v>275</v>
      </c>
      <c r="B49" s="367"/>
      <c r="C49" s="324" t="s">
        <v>884</v>
      </c>
      <c r="D49" s="329" t="s">
        <v>876</v>
      </c>
      <c r="E49" s="477"/>
      <c r="F49" s="353"/>
    </row>
    <row r="50" spans="1:6" ht="12">
      <c r="A50" s="368"/>
      <c r="B50" s="370"/>
      <c r="C50" s="325"/>
      <c r="D50" s="478"/>
      <c r="E50" s="479"/>
      <c r="F50" s="480"/>
    </row>
    <row r="51" spans="1:6" ht="12">
      <c r="A51" s="469" t="s">
        <v>857</v>
      </c>
      <c r="B51" s="483" t="s">
        <v>277</v>
      </c>
      <c r="C51" s="325"/>
      <c r="D51" s="357" t="s">
        <v>782</v>
      </c>
      <c r="E51" s="329" t="s">
        <v>878</v>
      </c>
      <c r="F51" s="353"/>
    </row>
    <row r="52" spans="1:6" ht="12">
      <c r="A52" s="469"/>
      <c r="B52" s="483"/>
      <c r="C52" s="325"/>
      <c r="D52" s="357"/>
      <c r="E52" s="478"/>
      <c r="F52" s="480"/>
    </row>
    <row r="53" spans="1:6" ht="12">
      <c r="A53" s="469"/>
      <c r="B53" s="483"/>
      <c r="C53" s="325"/>
      <c r="D53" s="357"/>
      <c r="E53" s="357" t="s">
        <v>1021</v>
      </c>
      <c r="F53" s="354" t="s">
        <v>880</v>
      </c>
    </row>
    <row r="54" spans="1:6" ht="12.75" thickBot="1">
      <c r="A54" s="470"/>
      <c r="B54" s="485"/>
      <c r="C54" s="326"/>
      <c r="D54" s="358"/>
      <c r="E54" s="358"/>
      <c r="F54" s="355"/>
    </row>
    <row r="55" spans="1:6" ht="12.75" thickTop="1">
      <c r="A55" s="134"/>
      <c r="B55" s="135"/>
      <c r="C55" s="135"/>
      <c r="D55" s="153"/>
      <c r="E55" s="153"/>
      <c r="F55" s="44"/>
    </row>
    <row r="56" spans="1:6" ht="12">
      <c r="A56" s="43">
        <v>14</v>
      </c>
      <c r="B56" s="469" t="s">
        <v>228</v>
      </c>
      <c r="C56" s="56" t="s">
        <v>1023</v>
      </c>
      <c r="D56" s="58">
        <f aca="true" t="shared" si="4" ref="D56:D64">E56+F56</f>
        <v>10758</v>
      </c>
      <c r="E56" s="58">
        <f>E57+E58+E59+E60+E61+E62+E63</f>
        <v>10758</v>
      </c>
      <c r="F56" s="59">
        <f>F57+F58+F59+F60+F61+F62+F63</f>
        <v>0</v>
      </c>
    </row>
    <row r="57" spans="1:6" ht="12">
      <c r="A57" s="43"/>
      <c r="B57" s="469"/>
      <c r="C57" s="41" t="s">
        <v>221</v>
      </c>
      <c r="D57" s="5">
        <f t="shared" si="4"/>
        <v>4424</v>
      </c>
      <c r="E57" s="5">
        <f>kiö!$AD$47</f>
        <v>4424</v>
      </c>
      <c r="F57" s="44"/>
    </row>
    <row r="58" spans="1:6" ht="12">
      <c r="A58" s="43"/>
      <c r="B58" s="469"/>
      <c r="C58" s="41" t="s">
        <v>222</v>
      </c>
      <c r="D58" s="5">
        <f t="shared" si="4"/>
        <v>1302</v>
      </c>
      <c r="E58" s="5">
        <f>kiö!$AD$54</f>
        <v>1302</v>
      </c>
      <c r="F58" s="44"/>
    </row>
    <row r="59" spans="1:6" ht="12">
      <c r="A59" s="43"/>
      <c r="B59" s="469"/>
      <c r="C59" s="41" t="s">
        <v>223</v>
      </c>
      <c r="D59" s="5">
        <f t="shared" si="4"/>
        <v>5032</v>
      </c>
      <c r="E59" s="5">
        <f>kiö!$AD$93</f>
        <v>5032</v>
      </c>
      <c r="F59" s="44"/>
    </row>
    <row r="60" spans="1:6" ht="12">
      <c r="A60" s="43"/>
      <c r="B60" s="469"/>
      <c r="C60" s="41" t="s">
        <v>305</v>
      </c>
      <c r="D60" s="5">
        <f t="shared" si="4"/>
        <v>0</v>
      </c>
      <c r="E60" s="5">
        <f>kiö!$AD$106</f>
        <v>0</v>
      </c>
      <c r="F60" s="44"/>
    </row>
    <row r="61" spans="1:6" ht="12">
      <c r="A61" s="43"/>
      <c r="B61" s="469"/>
      <c r="C61" s="41" t="s">
        <v>210</v>
      </c>
      <c r="D61" s="5">
        <f t="shared" si="4"/>
        <v>0</v>
      </c>
      <c r="E61" s="5">
        <f>kiö!$AD$108+kiö!$AD$109+kiö!$AD$110+kiö!$AD$129</f>
        <v>0</v>
      </c>
      <c r="F61" s="44">
        <f>kiö!$AD$111+kiö!$AD$112</f>
        <v>0</v>
      </c>
    </row>
    <row r="62" spans="1:6" ht="12">
      <c r="A62" s="43"/>
      <c r="B62" s="469"/>
      <c r="C62" s="41" t="s">
        <v>340</v>
      </c>
      <c r="D62" s="5">
        <f t="shared" si="4"/>
        <v>0</v>
      </c>
      <c r="E62" s="5"/>
      <c r="F62" s="44">
        <f>kiö!$AD$134+kiö!$AD$138+kiö!$AD$143+kiö!$AD$148+kiö!$AD$152</f>
        <v>0</v>
      </c>
    </row>
    <row r="63" spans="1:6" ht="12">
      <c r="A63" s="43"/>
      <c r="B63" s="469"/>
      <c r="C63" s="41" t="s">
        <v>1018</v>
      </c>
      <c r="D63" s="5">
        <f t="shared" si="4"/>
        <v>0</v>
      </c>
      <c r="E63" s="5">
        <f>kiö!$AD$154+kiö!$AD$157</f>
        <v>0</v>
      </c>
      <c r="F63" s="44">
        <f>kiö!$AD$155+kiö!$AD$158</f>
        <v>0</v>
      </c>
    </row>
    <row r="64" spans="1:6" ht="12">
      <c r="A64" s="43"/>
      <c r="B64" s="469"/>
      <c r="C64" s="41" t="s">
        <v>225</v>
      </c>
      <c r="D64" s="5">
        <f t="shared" si="4"/>
        <v>5</v>
      </c>
      <c r="E64" s="5">
        <v>5</v>
      </c>
      <c r="F64" s="44"/>
    </row>
    <row r="65" spans="1:6" ht="12">
      <c r="A65" s="43"/>
      <c r="B65" s="41"/>
      <c r="C65" s="41"/>
      <c r="D65" s="5"/>
      <c r="E65" s="5"/>
      <c r="F65" s="44"/>
    </row>
    <row r="66" spans="1:6" ht="12">
      <c r="A66" s="43">
        <v>15</v>
      </c>
      <c r="B66" s="469" t="s">
        <v>229</v>
      </c>
      <c r="C66" s="56" t="s">
        <v>1023</v>
      </c>
      <c r="D66" s="58">
        <f aca="true" t="shared" si="5" ref="D66:D74">E66+F66</f>
        <v>3552</v>
      </c>
      <c r="E66" s="58">
        <f>E67+E68+E69+E70+E71+E72+E73</f>
        <v>3552</v>
      </c>
      <c r="F66" s="59">
        <f>F67+F68+F69+F70+F71+F72+F73</f>
        <v>0</v>
      </c>
    </row>
    <row r="67" spans="1:6" ht="12">
      <c r="A67" s="43"/>
      <c r="B67" s="469"/>
      <c r="C67" s="41" t="s">
        <v>221</v>
      </c>
      <c r="D67" s="5">
        <f t="shared" si="5"/>
        <v>1888</v>
      </c>
      <c r="E67" s="5">
        <f>kiö!$AG$47</f>
        <v>1888</v>
      </c>
      <c r="F67" s="44"/>
    </row>
    <row r="68" spans="1:6" ht="12">
      <c r="A68" s="43"/>
      <c r="B68" s="469"/>
      <c r="C68" s="41" t="s">
        <v>222</v>
      </c>
      <c r="D68" s="5">
        <f t="shared" si="5"/>
        <v>582</v>
      </c>
      <c r="E68" s="5">
        <f>kiö!$AG$54</f>
        <v>582</v>
      </c>
      <c r="F68" s="44"/>
    </row>
    <row r="69" spans="1:6" ht="12">
      <c r="A69" s="43"/>
      <c r="B69" s="469"/>
      <c r="C69" s="41" t="s">
        <v>223</v>
      </c>
      <c r="D69" s="5">
        <f t="shared" si="5"/>
        <v>1037</v>
      </c>
      <c r="E69" s="5">
        <f>kiö!$AG$93</f>
        <v>1037</v>
      </c>
      <c r="F69" s="44"/>
    </row>
    <row r="70" spans="1:6" ht="12">
      <c r="A70" s="43"/>
      <c r="B70" s="469"/>
      <c r="C70" s="41" t="s">
        <v>305</v>
      </c>
      <c r="D70" s="5">
        <f t="shared" si="5"/>
        <v>0</v>
      </c>
      <c r="E70" s="5">
        <f>kiö!$AG$106</f>
        <v>0</v>
      </c>
      <c r="F70" s="44"/>
    </row>
    <row r="71" spans="1:6" ht="12">
      <c r="A71" s="43"/>
      <c r="B71" s="469"/>
      <c r="C71" s="41" t="s">
        <v>210</v>
      </c>
      <c r="D71" s="5">
        <f t="shared" si="5"/>
        <v>45</v>
      </c>
      <c r="E71" s="5">
        <f>kiö!$AG$108+kiö!$AG$109+kiö!$AG$110+kiö!$AG$129</f>
        <v>45</v>
      </c>
      <c r="F71" s="44">
        <f>kiö!$AG$111+kiö!$AG$112</f>
        <v>0</v>
      </c>
    </row>
    <row r="72" spans="1:6" ht="12">
      <c r="A72" s="43"/>
      <c r="B72" s="469"/>
      <c r="C72" s="41" t="s">
        <v>340</v>
      </c>
      <c r="D72" s="5">
        <f t="shared" si="5"/>
        <v>0</v>
      </c>
      <c r="E72" s="5"/>
      <c r="F72" s="44">
        <f>kiö!$AG$134+kiö!$AG$138+kiö!$AG$143+kiö!$AG$148+kiö!$AG$152</f>
        <v>0</v>
      </c>
    </row>
    <row r="73" spans="1:6" ht="12">
      <c r="A73" s="43"/>
      <c r="B73" s="469"/>
      <c r="C73" s="41" t="s">
        <v>1018</v>
      </c>
      <c r="D73" s="5">
        <f t="shared" si="5"/>
        <v>0</v>
      </c>
      <c r="E73" s="5">
        <f>kiö!$AG$154+kiö!$AG$157</f>
        <v>0</v>
      </c>
      <c r="F73" s="44">
        <f>kiö!$AG$155+kiö!$AG$158</f>
        <v>0</v>
      </c>
    </row>
    <row r="74" spans="1:6" ht="12">
      <c r="A74" s="43"/>
      <c r="B74" s="469"/>
      <c r="C74" s="41" t="s">
        <v>225</v>
      </c>
      <c r="D74" s="5">
        <f t="shared" si="5"/>
        <v>1</v>
      </c>
      <c r="E74" s="5">
        <v>1</v>
      </c>
      <c r="F74" s="44"/>
    </row>
    <row r="75" spans="1:6" ht="12">
      <c r="A75" s="43"/>
      <c r="B75" s="41"/>
      <c r="C75" s="41"/>
      <c r="D75" s="5"/>
      <c r="E75" s="5"/>
      <c r="F75" s="44"/>
    </row>
    <row r="76" spans="1:6" ht="12">
      <c r="A76" s="43"/>
      <c r="B76" s="41"/>
      <c r="C76" s="41"/>
      <c r="D76" s="5"/>
      <c r="E76" s="5"/>
      <c r="F76" s="44"/>
    </row>
    <row r="77" spans="1:6" ht="12">
      <c r="A77" s="43"/>
      <c r="B77" s="469" t="s">
        <v>231</v>
      </c>
      <c r="C77" s="56" t="s">
        <v>1023</v>
      </c>
      <c r="D77" s="58">
        <f>D8+D19+D29+D39+D56+D66-1</f>
        <v>121253</v>
      </c>
      <c r="E77" s="58">
        <f>E8+E19+E29+E39+E56+E66</f>
        <v>117326</v>
      </c>
      <c r="F77" s="58">
        <f>F8+F19+F29+F39+F56+F66</f>
        <v>3928</v>
      </c>
    </row>
    <row r="78" spans="1:6" ht="12">
      <c r="A78" s="43"/>
      <c r="B78" s="469"/>
      <c r="C78" s="41" t="s">
        <v>221</v>
      </c>
      <c r="D78" s="5">
        <f aca="true" t="shared" si="6" ref="D78:F85">D9+D20+D30+D40+D57+D67</f>
        <v>24219</v>
      </c>
      <c r="E78" s="5">
        <f t="shared" si="6"/>
        <v>24219</v>
      </c>
      <c r="F78" s="5">
        <f t="shared" si="6"/>
        <v>0</v>
      </c>
    </row>
    <row r="79" spans="1:6" ht="12">
      <c r="A79" s="43"/>
      <c r="B79" s="469"/>
      <c r="C79" s="41" t="s">
        <v>222</v>
      </c>
      <c r="D79" s="5">
        <f t="shared" si="6"/>
        <v>7397</v>
      </c>
      <c r="E79" s="5">
        <f t="shared" si="6"/>
        <v>7397</v>
      </c>
      <c r="F79" s="5">
        <f t="shared" si="6"/>
        <v>0</v>
      </c>
    </row>
    <row r="80" spans="1:6" ht="12">
      <c r="A80" s="43"/>
      <c r="B80" s="469"/>
      <c r="C80" s="41" t="s">
        <v>223</v>
      </c>
      <c r="D80" s="5">
        <f t="shared" si="6"/>
        <v>21248</v>
      </c>
      <c r="E80" s="5">
        <f t="shared" si="6"/>
        <v>21248</v>
      </c>
      <c r="F80" s="5">
        <f t="shared" si="6"/>
        <v>0</v>
      </c>
    </row>
    <row r="81" spans="1:6" s="27" customFormat="1" ht="12">
      <c r="A81" s="43"/>
      <c r="B81" s="469"/>
      <c r="C81" s="41" t="s">
        <v>305</v>
      </c>
      <c r="D81" s="5">
        <f t="shared" si="6"/>
        <v>2535</v>
      </c>
      <c r="E81" s="5">
        <f t="shared" si="6"/>
        <v>2535</v>
      </c>
      <c r="F81" s="5">
        <f t="shared" si="6"/>
        <v>0</v>
      </c>
    </row>
    <row r="82" spans="1:6" s="145" customFormat="1" ht="12">
      <c r="A82" s="43"/>
      <c r="B82" s="469"/>
      <c r="C82" s="41" t="s">
        <v>210</v>
      </c>
      <c r="D82" s="5">
        <f t="shared" si="6"/>
        <v>55021</v>
      </c>
      <c r="E82" s="5">
        <f t="shared" si="6"/>
        <v>53927</v>
      </c>
      <c r="F82" s="5">
        <f t="shared" si="6"/>
        <v>1094</v>
      </c>
    </row>
    <row r="83" spans="1:6" ht="12">
      <c r="A83" s="43"/>
      <c r="B83" s="469"/>
      <c r="C83" s="41" t="s">
        <v>340</v>
      </c>
      <c r="D83" s="5">
        <f t="shared" si="6"/>
        <v>0</v>
      </c>
      <c r="E83" s="5">
        <f t="shared" si="6"/>
        <v>0</v>
      </c>
      <c r="F83" s="5">
        <f t="shared" si="6"/>
        <v>0</v>
      </c>
    </row>
    <row r="84" spans="1:6" ht="12">
      <c r="A84" s="43"/>
      <c r="B84" s="469"/>
      <c r="C84" s="41" t="s">
        <v>1018</v>
      </c>
      <c r="D84" s="5">
        <f t="shared" si="6"/>
        <v>10834</v>
      </c>
      <c r="E84" s="5">
        <f t="shared" si="6"/>
        <v>8000</v>
      </c>
      <c r="F84" s="5">
        <f t="shared" si="6"/>
        <v>2834</v>
      </c>
    </row>
    <row r="85" spans="1:6" ht="12">
      <c r="A85" s="43"/>
      <c r="B85" s="469"/>
      <c r="C85" s="41" t="s">
        <v>225</v>
      </c>
      <c r="D85" s="5">
        <f t="shared" si="6"/>
        <v>16</v>
      </c>
      <c r="E85" s="5">
        <f t="shared" si="6"/>
        <v>16</v>
      </c>
      <c r="F85" s="5">
        <f t="shared" si="6"/>
        <v>0</v>
      </c>
    </row>
    <row r="86" spans="1:6" ht="12">
      <c r="A86" s="154"/>
      <c r="B86" s="148"/>
      <c r="C86" s="148"/>
      <c r="D86" s="26">
        <f>SUM(D78:D84)-1</f>
        <v>121253</v>
      </c>
      <c r="E86" s="26"/>
      <c r="F86" s="26"/>
    </row>
    <row r="87" spans="1:6" ht="12">
      <c r="A87" s="132"/>
      <c r="B87" s="49"/>
      <c r="C87" s="49"/>
      <c r="D87" s="51"/>
      <c r="E87" s="51"/>
      <c r="F87" s="53"/>
    </row>
  </sheetData>
  <mergeCells count="25">
    <mergeCell ref="C49:C54"/>
    <mergeCell ref="D49:F50"/>
    <mergeCell ref="A51:A54"/>
    <mergeCell ref="B51:B54"/>
    <mergeCell ref="D51:D54"/>
    <mergeCell ref="E51:F52"/>
    <mergeCell ref="E53:E54"/>
    <mergeCell ref="F53:F54"/>
    <mergeCell ref="B56:B64"/>
    <mergeCell ref="B66:B74"/>
    <mergeCell ref="B77:B85"/>
    <mergeCell ref="A49:B50"/>
    <mergeCell ref="B8:B16"/>
    <mergeCell ref="B19:B27"/>
    <mergeCell ref="B29:B37"/>
    <mergeCell ref="B39:B47"/>
    <mergeCell ref="A1:B2"/>
    <mergeCell ref="D1:F2"/>
    <mergeCell ref="E3:F4"/>
    <mergeCell ref="E5:E6"/>
    <mergeCell ref="F5:F6"/>
    <mergeCell ref="D3:D6"/>
    <mergeCell ref="A3:A6"/>
    <mergeCell ref="B3:B6"/>
    <mergeCell ref="C1:C6"/>
  </mergeCells>
  <printOptions horizontalCentered="1"/>
  <pageMargins left="0.7874015748031497" right="0.7874015748031497" top="1.47" bottom="0.72" header="0.5118110236220472" footer="0.5118110236220472"/>
  <pageSetup horizontalDpi="600" verticalDpi="600" orientation="portrait" paperSize="9" r:id="rId1"/>
  <headerFooter alignWithMargins="0">
    <oddHeader>&amp;C
&amp;"Arial,Félkövér dőlt"&amp;12Tiszagyulaháza község 2008.évi költsdégvetési kiadásainak részletezése
 kiadási jogcímenként és költségvetési címenként&amp;R&amp;"Arial,Dőlt"&amp;8 5.számú melléklet
adatok ezer forintban</oddHeader>
    <oddFooter>&amp;C&amp;"Arial,Dőlt"&amp;8&amp;P. oldal</oddFooter>
  </headerFooter>
  <rowBreaks count="1" manualBreakCount="1">
    <brk id="4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7" sqref="E7:E10"/>
    </sheetView>
  </sheetViews>
  <sheetFormatPr defaultColWidth="9.00390625" defaultRowHeight="12.75"/>
  <cols>
    <col min="1" max="2" width="5.25390625" style="37" customWidth="1"/>
    <col min="3" max="3" width="24.375" style="37" bestFit="1" customWidth="1"/>
    <col min="4" max="4" width="27.125" style="37" customWidth="1"/>
    <col min="5" max="5" width="14.125" style="37" customWidth="1"/>
    <col min="6" max="16384" width="9.125" style="37" customWidth="1"/>
  </cols>
  <sheetData>
    <row r="1" spans="1:5" ht="12">
      <c r="A1" s="468" t="s">
        <v>1076</v>
      </c>
      <c r="B1" s="365" t="s">
        <v>856</v>
      </c>
      <c r="C1" s="367"/>
      <c r="D1" s="365" t="s">
        <v>1077</v>
      </c>
      <c r="E1" s="367"/>
    </row>
    <row r="2" spans="1:5" ht="12">
      <c r="A2" s="469"/>
      <c r="B2" s="368"/>
      <c r="C2" s="370"/>
      <c r="D2" s="368"/>
      <c r="E2" s="370"/>
    </row>
    <row r="3" spans="1:5" ht="12">
      <c r="A3" s="469"/>
      <c r="B3" s="469" t="s">
        <v>1078</v>
      </c>
      <c r="C3" s="324" t="s">
        <v>858</v>
      </c>
      <c r="D3" s="325" t="s">
        <v>1079</v>
      </c>
      <c r="E3" s="325" t="s">
        <v>230</v>
      </c>
    </row>
    <row r="4" spans="1:5" ht="12">
      <c r="A4" s="469"/>
      <c r="B4" s="469"/>
      <c r="C4" s="325"/>
      <c r="D4" s="325"/>
      <c r="E4" s="325"/>
    </row>
    <row r="5" spans="1:5" ht="12.75" thickBot="1">
      <c r="A5" s="470"/>
      <c r="B5" s="470"/>
      <c r="C5" s="326"/>
      <c r="D5" s="326"/>
      <c r="E5" s="326"/>
    </row>
    <row r="6" spans="1:5" ht="12.75" thickTop="1">
      <c r="A6" s="41"/>
      <c r="B6" s="155"/>
      <c r="C6" s="42"/>
      <c r="D6" s="41"/>
      <c r="E6" s="5"/>
    </row>
    <row r="7" spans="1:5" ht="12">
      <c r="A7" s="156">
        <v>1</v>
      </c>
      <c r="B7" s="157">
        <v>13</v>
      </c>
      <c r="C7" s="42" t="s">
        <v>1435</v>
      </c>
      <c r="D7" s="41" t="s">
        <v>1515</v>
      </c>
      <c r="E7" s="5"/>
    </row>
    <row r="8" spans="1:5" ht="12">
      <c r="A8" s="156"/>
      <c r="B8" s="157"/>
      <c r="C8" s="42"/>
      <c r="D8" s="41"/>
      <c r="E8" s="5"/>
    </row>
    <row r="9" spans="1:5" ht="12">
      <c r="A9" s="156">
        <v>2</v>
      </c>
      <c r="B9" s="157">
        <v>16</v>
      </c>
      <c r="C9" s="42" t="s">
        <v>1112</v>
      </c>
      <c r="D9" s="41" t="s">
        <v>1113</v>
      </c>
      <c r="E9" s="5"/>
    </row>
    <row r="10" spans="1:5" ht="12">
      <c r="A10" s="156"/>
      <c r="B10" s="157"/>
      <c r="C10" s="42"/>
      <c r="D10" s="41"/>
      <c r="E10" s="5"/>
    </row>
    <row r="11" spans="1:5" ht="12">
      <c r="A11" s="156"/>
      <c r="B11" s="157"/>
      <c r="C11" s="42"/>
      <c r="D11" s="41" t="s">
        <v>1080</v>
      </c>
      <c r="E11" s="5">
        <f>SUM(E7:E10)</f>
        <v>0</v>
      </c>
    </row>
    <row r="12" spans="1:5" ht="12">
      <c r="A12" s="49"/>
      <c r="B12" s="158"/>
      <c r="C12" s="52"/>
      <c r="D12" s="49"/>
      <c r="E12" s="51"/>
    </row>
  </sheetData>
  <mergeCells count="7">
    <mergeCell ref="D3:D5"/>
    <mergeCell ref="E3:E5"/>
    <mergeCell ref="D1:E2"/>
    <mergeCell ref="A1:A5"/>
    <mergeCell ref="B3:B5"/>
    <mergeCell ref="C3:C5"/>
    <mergeCell ref="B1:C2"/>
  </mergeCells>
  <printOptions horizontalCentered="1"/>
  <pageMargins left="0.984251968503937" right="0.984251968503937" top="3.070866141732284" bottom="0.984251968503937" header="1.4173228346456694" footer="0.5118110236220472"/>
  <pageSetup horizontalDpi="180" verticalDpi="180" orientation="portrait" paperSize="9" r:id="rId1"/>
  <headerFooter alignWithMargins="0">
    <oddHeader>&amp;C
&amp;"Arial,Félkövér dőlt"&amp;12Tiszagyulaháza község 2008. évi felújítási kiadásainak részletezése
felújítási célonként&amp;R&amp;"Arial,Dőlt"&amp;8 6.számú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4" sqref="E14"/>
    </sheetView>
  </sheetViews>
  <sheetFormatPr defaultColWidth="9.00390625" defaultRowHeight="12.75"/>
  <cols>
    <col min="1" max="1" width="4.25390625" style="37" customWidth="1"/>
    <col min="2" max="2" width="6.25390625" style="37" customWidth="1"/>
    <col min="3" max="3" width="31.375" style="37" customWidth="1"/>
    <col min="4" max="4" width="25.875" style="37" customWidth="1"/>
    <col min="5" max="5" width="14.75390625" style="37" customWidth="1"/>
    <col min="6" max="16384" width="9.125" style="37" customWidth="1"/>
  </cols>
  <sheetData>
    <row r="1" spans="1:5" ht="12">
      <c r="A1" s="468" t="s">
        <v>1076</v>
      </c>
      <c r="B1" s="365" t="s">
        <v>856</v>
      </c>
      <c r="C1" s="367"/>
      <c r="D1" s="365" t="s">
        <v>1081</v>
      </c>
      <c r="E1" s="367"/>
    </row>
    <row r="2" spans="1:5" ht="12">
      <c r="A2" s="469"/>
      <c r="B2" s="368"/>
      <c r="C2" s="370"/>
      <c r="D2" s="368"/>
      <c r="E2" s="370"/>
    </row>
    <row r="3" spans="1:5" ht="12">
      <c r="A3" s="469"/>
      <c r="B3" s="325" t="s">
        <v>857</v>
      </c>
      <c r="C3" s="325" t="s">
        <v>858</v>
      </c>
      <c r="D3" s="325" t="s">
        <v>858</v>
      </c>
      <c r="E3" s="325" t="s">
        <v>230</v>
      </c>
    </row>
    <row r="4" spans="1:5" ht="12">
      <c r="A4" s="469"/>
      <c r="B4" s="325"/>
      <c r="C4" s="325"/>
      <c r="D4" s="325"/>
      <c r="E4" s="325"/>
    </row>
    <row r="5" spans="1:5" ht="12.75" thickBot="1">
      <c r="A5" s="470"/>
      <c r="B5" s="326"/>
      <c r="C5" s="326"/>
      <c r="D5" s="326"/>
      <c r="E5" s="326"/>
    </row>
    <row r="6" spans="1:5" ht="12.75" thickTop="1">
      <c r="A6" s="41"/>
      <c r="B6" s="41"/>
      <c r="C6" s="42"/>
      <c r="D6" s="41"/>
      <c r="E6" s="42"/>
    </row>
    <row r="7" spans="1:5" ht="12">
      <c r="A7" s="43"/>
      <c r="B7" s="43"/>
      <c r="C7" s="42"/>
      <c r="D7" s="41"/>
      <c r="E7" s="42"/>
    </row>
    <row r="8" spans="1:5" ht="12">
      <c r="A8" s="43">
        <v>1</v>
      </c>
      <c r="B8" s="43">
        <v>10</v>
      </c>
      <c r="C8" s="42" t="s">
        <v>861</v>
      </c>
      <c r="D8" s="41" t="s">
        <v>1082</v>
      </c>
      <c r="E8" s="44">
        <v>500</v>
      </c>
    </row>
    <row r="9" spans="1:5" ht="12">
      <c r="A9" s="43"/>
      <c r="B9" s="43"/>
      <c r="C9" s="42"/>
      <c r="D9" s="41"/>
      <c r="E9" s="44"/>
    </row>
    <row r="10" spans="1:5" ht="12">
      <c r="A10" s="43">
        <v>2</v>
      </c>
      <c r="B10" s="43">
        <v>10</v>
      </c>
      <c r="C10" s="42" t="s">
        <v>1436</v>
      </c>
      <c r="D10" s="88" t="s">
        <v>1453</v>
      </c>
      <c r="E10" s="44">
        <v>577</v>
      </c>
    </row>
    <row r="11" spans="1:5" ht="12">
      <c r="A11" s="43"/>
      <c r="B11" s="43"/>
      <c r="C11" s="42"/>
      <c r="D11" s="88"/>
      <c r="E11" s="44"/>
    </row>
    <row r="12" spans="1:5" ht="12">
      <c r="A12" s="43">
        <v>3</v>
      </c>
      <c r="B12" s="43">
        <v>10</v>
      </c>
      <c r="C12" s="42" t="s">
        <v>1436</v>
      </c>
      <c r="D12" s="88" t="s">
        <v>1452</v>
      </c>
      <c r="E12" s="44">
        <v>2334</v>
      </c>
    </row>
    <row r="13" spans="1:5" ht="12">
      <c r="A13" s="43"/>
      <c r="B13" s="43"/>
      <c r="C13" s="42"/>
      <c r="D13" s="88"/>
      <c r="E13" s="44"/>
    </row>
    <row r="14" spans="1:5" ht="12">
      <c r="A14" s="43">
        <v>4</v>
      </c>
      <c r="B14" s="43">
        <v>13</v>
      </c>
      <c r="C14" s="42" t="s">
        <v>1454</v>
      </c>
      <c r="D14" s="88" t="s">
        <v>1453</v>
      </c>
      <c r="E14" s="44"/>
    </row>
    <row r="15" spans="1:5" ht="12">
      <c r="A15" s="43"/>
      <c r="B15" s="43"/>
      <c r="C15" s="42"/>
      <c r="D15" s="41"/>
      <c r="E15" s="44"/>
    </row>
    <row r="16" spans="1:5" ht="12">
      <c r="A16" s="43"/>
      <c r="B16" s="43"/>
      <c r="C16" s="42" t="s">
        <v>1083</v>
      </c>
      <c r="D16" s="41"/>
      <c r="E16" s="48">
        <f>SUM(E8:E15)</f>
        <v>3411</v>
      </c>
    </row>
    <row r="17" spans="1:5" ht="12">
      <c r="A17" s="43"/>
      <c r="B17" s="43"/>
      <c r="C17" s="42"/>
      <c r="D17" s="41"/>
      <c r="E17" s="42"/>
    </row>
    <row r="18" spans="1:5" ht="12">
      <c r="A18" s="132"/>
      <c r="B18" s="132"/>
      <c r="C18" s="52"/>
      <c r="D18" s="49"/>
      <c r="E18" s="52"/>
    </row>
    <row r="19" spans="1:2" ht="12">
      <c r="A19" s="133"/>
      <c r="B19" s="133"/>
    </row>
    <row r="20" ht="12">
      <c r="A20" s="133"/>
    </row>
  </sheetData>
  <mergeCells count="7">
    <mergeCell ref="D3:D5"/>
    <mergeCell ref="E3:E5"/>
    <mergeCell ref="D1:E2"/>
    <mergeCell ref="A1:A5"/>
    <mergeCell ref="B3:B5"/>
    <mergeCell ref="C3:C5"/>
    <mergeCell ref="B1:C2"/>
  </mergeCells>
  <printOptions horizontalCentered="1"/>
  <pageMargins left="0.7874015748031497" right="0.7874015748031497" top="2.598425196850394" bottom="0.984251968503937" header="1.220472440944882" footer="0.5118110236220472"/>
  <pageSetup horizontalDpi="180" verticalDpi="180" orientation="portrait" paperSize="9" r:id="rId1"/>
  <headerFooter alignWithMargins="0">
    <oddHeader>&amp;C
&amp;"Arial,Félkövér dőlt"&amp;12Tiszagyulaháza község 2008.évi felhalmozási kiadásainak részletezése
beruházási célonként, és költségvetési cínenként
&amp;R&amp;"Arial,Dőlt"&amp;8 7.számú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94"/>
  <sheetViews>
    <sheetView workbookViewId="0" topLeftCell="A73">
      <selection activeCell="E90" sqref="E90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2" ht="12">
      <c r="A2" s="145" t="s">
        <v>783</v>
      </c>
    </row>
    <row r="4" spans="1:4" ht="40.5" customHeight="1">
      <c r="A4" s="317" t="s">
        <v>309</v>
      </c>
      <c r="B4" s="318"/>
      <c r="C4" s="318"/>
      <c r="D4" s="318"/>
    </row>
    <row r="6" spans="1:4" ht="30" customHeight="1">
      <c r="A6" s="317" t="s">
        <v>310</v>
      </c>
      <c r="B6" s="318"/>
      <c r="C6" s="318"/>
      <c r="D6" s="318"/>
    </row>
    <row r="8" ht="12">
      <c r="A8" s="37" t="s">
        <v>795</v>
      </c>
    </row>
    <row r="9" ht="12">
      <c r="A9" s="37" t="s">
        <v>796</v>
      </c>
    </row>
    <row r="11" ht="12">
      <c r="A11" s="61" t="s">
        <v>797</v>
      </c>
    </row>
    <row r="12" ht="12">
      <c r="A12" s="9" t="s">
        <v>311</v>
      </c>
    </row>
    <row r="13" ht="12">
      <c r="A13" s="9" t="s">
        <v>798</v>
      </c>
    </row>
    <row r="15" spans="1:3" ht="12">
      <c r="A15" s="37" t="s">
        <v>312</v>
      </c>
      <c r="B15" s="243" t="s">
        <v>160</v>
      </c>
      <c r="C15" s="243" t="s">
        <v>161</v>
      </c>
    </row>
    <row r="16" spans="1:3" ht="12">
      <c r="A16" s="37" t="s">
        <v>313</v>
      </c>
      <c r="B16" s="55">
        <f>kjb!G16+37</f>
        <v>241599.5</v>
      </c>
      <c r="C16" s="55">
        <f>B16*6</f>
        <v>1449597</v>
      </c>
    </row>
    <row r="17" spans="1:3" ht="12">
      <c r="A17" s="37" t="s">
        <v>741</v>
      </c>
      <c r="B17" s="55">
        <f>kjb!N16</f>
        <v>289875</v>
      </c>
      <c r="C17" s="55">
        <f>B17*0.5+138000</f>
        <v>282937.5</v>
      </c>
    </row>
    <row r="18" spans="1:4" ht="12">
      <c r="A18" s="37" t="s">
        <v>314</v>
      </c>
      <c r="C18" s="55">
        <f>SUM(C16:C17)-40</f>
        <v>1732494.5</v>
      </c>
      <c r="D18" s="55">
        <f>ROUND(C18/1000,0)</f>
        <v>1732</v>
      </c>
    </row>
    <row r="21" ht="12">
      <c r="A21" s="268" t="s">
        <v>315</v>
      </c>
    </row>
    <row r="22" spans="1:4" ht="12">
      <c r="A22" s="37" t="s">
        <v>316</v>
      </c>
      <c r="B22" s="55">
        <f>kjb!I16</f>
        <v>24156.25</v>
      </c>
      <c r="C22" s="55">
        <f>B22*6</f>
        <v>144937.5</v>
      </c>
      <c r="D22" s="55">
        <f>ROUND(C22/1000,0)</f>
        <v>145</v>
      </c>
    </row>
    <row r="23" spans="1:4" ht="12">
      <c r="A23" s="37" t="s">
        <v>317</v>
      </c>
      <c r="B23" s="55">
        <f>kjb!J16</f>
        <v>24156.25</v>
      </c>
      <c r="C23" s="55">
        <f>B23*6</f>
        <v>144937.5</v>
      </c>
      <c r="D23" s="55">
        <f>ROUND(C23/1000,0)</f>
        <v>145</v>
      </c>
    </row>
    <row r="24" spans="1:4" ht="12">
      <c r="A24" s="37" t="s">
        <v>318</v>
      </c>
      <c r="C24" s="55">
        <f>SUM(C22:C23)</f>
        <v>289875</v>
      </c>
      <c r="D24" s="55">
        <f>SUM(D22:D23)</f>
        <v>290</v>
      </c>
    </row>
    <row r="26" spans="1:4" s="9" customFormat="1" ht="12">
      <c r="A26" s="9" t="s">
        <v>162</v>
      </c>
      <c r="B26" s="243"/>
      <c r="C26" s="243">
        <f>C18+C24</f>
        <v>2022369.5</v>
      </c>
      <c r="D26" s="243">
        <f>D18+D24</f>
        <v>2022</v>
      </c>
    </row>
    <row r="28" ht="12">
      <c r="A28" s="9" t="s">
        <v>163</v>
      </c>
    </row>
    <row r="30" ht="12">
      <c r="A30" s="37" t="s">
        <v>166</v>
      </c>
    </row>
    <row r="32" ht="12">
      <c r="A32" s="37" t="s">
        <v>167</v>
      </c>
    </row>
    <row r="33" spans="1:2" ht="12">
      <c r="A33" s="37" t="s">
        <v>319</v>
      </c>
      <c r="B33" s="55">
        <v>38650</v>
      </c>
    </row>
    <row r="34" spans="1:2" ht="12">
      <c r="A34" s="37" t="s">
        <v>320</v>
      </c>
      <c r="B34" s="55">
        <f>B33*200%</f>
        <v>77300</v>
      </c>
    </row>
    <row r="35" spans="1:2" ht="12">
      <c r="A35" s="37" t="s">
        <v>321</v>
      </c>
      <c r="B35" s="55">
        <v>1</v>
      </c>
    </row>
    <row r="36" spans="1:4" ht="12">
      <c r="A36" s="37" t="s">
        <v>167</v>
      </c>
      <c r="C36" s="55">
        <f>B34*B35/2</f>
        <v>38650</v>
      </c>
      <c r="D36" s="55">
        <f>ROUND(C36/1000,0)</f>
        <v>39</v>
      </c>
    </row>
    <row r="38" ht="12">
      <c r="A38" s="37" t="s">
        <v>170</v>
      </c>
    </row>
    <row r="39" spans="1:2" ht="12">
      <c r="A39" s="37" t="s">
        <v>171</v>
      </c>
      <c r="B39" s="55">
        <v>1</v>
      </c>
    </row>
    <row r="40" spans="1:2" ht="12">
      <c r="A40" s="37" t="s">
        <v>322</v>
      </c>
      <c r="B40" s="55">
        <v>12000</v>
      </c>
    </row>
    <row r="41" spans="1:4" ht="12">
      <c r="A41" s="37" t="s">
        <v>170</v>
      </c>
      <c r="C41" s="55">
        <f>B39*B40*6</f>
        <v>72000</v>
      </c>
      <c r="D41" s="55">
        <f>ROUND(C41/1000,0)</f>
        <v>72</v>
      </c>
    </row>
    <row r="43" spans="1:4" s="9" customFormat="1" ht="12">
      <c r="A43" s="9" t="s">
        <v>163</v>
      </c>
      <c r="B43" s="243"/>
      <c r="C43" s="243">
        <f>C36+C41</f>
        <v>110650</v>
      </c>
      <c r="D43" s="243">
        <f>D36+D41</f>
        <v>111</v>
      </c>
    </row>
    <row r="46" spans="1:4" s="61" customFormat="1" ht="12">
      <c r="A46" s="61" t="s">
        <v>173</v>
      </c>
      <c r="B46" s="226"/>
      <c r="C46" s="226">
        <f>C26+C43</f>
        <v>2133019.5</v>
      </c>
      <c r="D46" s="226">
        <f>D26+D43</f>
        <v>2133</v>
      </c>
    </row>
    <row r="48" ht="12">
      <c r="A48" s="61" t="s">
        <v>174</v>
      </c>
    </row>
    <row r="49" spans="1:3" ht="12">
      <c r="A49" s="37" t="s">
        <v>1277</v>
      </c>
      <c r="B49" s="63" t="s">
        <v>175</v>
      </c>
      <c r="C49" s="63" t="s">
        <v>1129</v>
      </c>
    </row>
    <row r="50" spans="1:4" ht="12">
      <c r="A50" s="37" t="s">
        <v>1130</v>
      </c>
      <c r="B50" s="55">
        <f>C26</f>
        <v>2022369.5</v>
      </c>
      <c r="C50" s="55">
        <f>B50*24%</f>
        <v>485368.68</v>
      </c>
      <c r="D50" s="55">
        <f>ROUND(C50/1000,0)+1</f>
        <v>486</v>
      </c>
    </row>
    <row r="51" spans="2:3" ht="12">
      <c r="B51" s="63" t="s">
        <v>175</v>
      </c>
      <c r="C51" s="63" t="s">
        <v>1131</v>
      </c>
    </row>
    <row r="52" spans="1:4" ht="12">
      <c r="A52" s="37" t="s">
        <v>1132</v>
      </c>
      <c r="B52" s="55">
        <f>C26</f>
        <v>2022369.5</v>
      </c>
      <c r="C52" s="55">
        <f>B52*4.5%</f>
        <v>91006.6275</v>
      </c>
      <c r="D52" s="55">
        <f>ROUND(C52/1000,0)</f>
        <v>91</v>
      </c>
    </row>
    <row r="53" spans="2:3" ht="12">
      <c r="B53" s="63" t="s">
        <v>175</v>
      </c>
      <c r="C53" s="63" t="s">
        <v>1134</v>
      </c>
    </row>
    <row r="54" spans="1:4" ht="12">
      <c r="A54" s="37" t="s">
        <v>1133</v>
      </c>
      <c r="B54" s="55">
        <f>C26</f>
        <v>2022369.5</v>
      </c>
      <c r="C54" s="55">
        <f>B54*0.5%</f>
        <v>10111.8475</v>
      </c>
      <c r="D54" s="55">
        <f>ROUND(C54/1000,0)</f>
        <v>10</v>
      </c>
    </row>
    <row r="55" spans="1:4" ht="12">
      <c r="A55" s="37" t="s">
        <v>1135</v>
      </c>
      <c r="C55" s="55">
        <f>C50+C52+C54</f>
        <v>586487.155</v>
      </c>
      <c r="D55" s="55">
        <f>D50+D52+D54</f>
        <v>587</v>
      </c>
    </row>
    <row r="57" spans="2:3" ht="12">
      <c r="B57" s="63" t="s">
        <v>175</v>
      </c>
      <c r="C57" s="63" t="s">
        <v>176</v>
      </c>
    </row>
    <row r="58" spans="1:4" ht="12">
      <c r="A58" s="37" t="s">
        <v>177</v>
      </c>
      <c r="B58" s="55">
        <f>C26</f>
        <v>2022369.5</v>
      </c>
      <c r="C58" s="55">
        <f>B58*3%</f>
        <v>60671.085</v>
      </c>
      <c r="D58" s="55">
        <f>ROUND(C58/1000,0)</f>
        <v>61</v>
      </c>
    </row>
    <row r="60" spans="1:4" s="9" customFormat="1" ht="12">
      <c r="A60" s="37" t="s">
        <v>841</v>
      </c>
      <c r="B60" s="55"/>
      <c r="C60" s="55"/>
      <c r="D60" s="55"/>
    </row>
    <row r="61" spans="1:2" ht="12">
      <c r="A61" s="37" t="s">
        <v>842</v>
      </c>
      <c r="B61" s="55">
        <v>1</v>
      </c>
    </row>
    <row r="62" spans="1:3" ht="12">
      <c r="A62" s="37" t="s">
        <v>1228</v>
      </c>
      <c r="B62" s="55">
        <v>1950</v>
      </c>
      <c r="C62" s="55">
        <f>B61*B62*12</f>
        <v>23400</v>
      </c>
    </row>
    <row r="63" spans="1:4" ht="12">
      <c r="A63" s="37" t="s">
        <v>841</v>
      </c>
      <c r="C63" s="55">
        <f>C62</f>
        <v>23400</v>
      </c>
      <c r="D63" s="55">
        <f>ROUND(C63/1000,0)</f>
        <v>23</v>
      </c>
    </row>
    <row r="65" spans="1:4" ht="12">
      <c r="A65" s="61" t="s">
        <v>1276</v>
      </c>
      <c r="B65" s="226"/>
      <c r="C65" s="226">
        <f>C55+C58+C63</f>
        <v>670558.24</v>
      </c>
      <c r="D65" s="226">
        <f>D55+D58+D63</f>
        <v>671</v>
      </c>
    </row>
    <row r="67" ht="12">
      <c r="A67" s="61" t="s">
        <v>1278</v>
      </c>
    </row>
    <row r="68" ht="12">
      <c r="A68" s="9" t="s">
        <v>847</v>
      </c>
    </row>
    <row r="69" ht="12">
      <c r="A69" s="37" t="s">
        <v>1108</v>
      </c>
    </row>
    <row r="70" spans="1:4" ht="12">
      <c r="A70" s="37" t="s">
        <v>1012</v>
      </c>
      <c r="C70" s="55">
        <v>1083330</v>
      </c>
      <c r="D70" s="55">
        <f>ROUND(C70/1000,0)</f>
        <v>1083</v>
      </c>
    </row>
    <row r="72" spans="1:3" ht="12">
      <c r="A72" s="37" t="s">
        <v>1109</v>
      </c>
      <c r="B72" s="63" t="s">
        <v>853</v>
      </c>
      <c r="C72" s="14" t="s">
        <v>854</v>
      </c>
    </row>
    <row r="73" spans="1:3" ht="12">
      <c r="A73" s="37" t="s">
        <v>1110</v>
      </c>
      <c r="B73" s="55">
        <f>C48</f>
        <v>0</v>
      </c>
      <c r="C73" s="55">
        <f>B73*5%</f>
        <v>0</v>
      </c>
    </row>
    <row r="74" spans="1:3" ht="12">
      <c r="A74" s="37" t="s">
        <v>1229</v>
      </c>
      <c r="B74" s="55">
        <f>C70</f>
        <v>1083330</v>
      </c>
      <c r="C74" s="55">
        <f>B74*20%+4</f>
        <v>216670</v>
      </c>
    </row>
    <row r="75" spans="1:4" ht="12">
      <c r="A75" s="37" t="s">
        <v>1111</v>
      </c>
      <c r="B75" s="55">
        <f>SUM(B73:B74)</f>
        <v>1083330</v>
      </c>
      <c r="C75" s="55">
        <f>SUM(C73:C74)</f>
        <v>216670</v>
      </c>
      <c r="D75" s="55">
        <f>ROUND(C75/1000,0)</f>
        <v>217</v>
      </c>
    </row>
    <row r="77" spans="1:4" s="61" customFormat="1" ht="12">
      <c r="A77" s="61" t="s">
        <v>1278</v>
      </c>
      <c r="B77" s="226"/>
      <c r="C77" s="226">
        <f>C70+C75</f>
        <v>1300000</v>
      </c>
      <c r="D77" s="226">
        <f>D70+D75</f>
        <v>1300</v>
      </c>
    </row>
    <row r="79" spans="1:4" ht="12">
      <c r="A79" s="61" t="s">
        <v>1019</v>
      </c>
      <c r="B79" s="226"/>
      <c r="C79" s="226">
        <f>C46+C65+C77</f>
        <v>4103577.74</v>
      </c>
      <c r="D79" s="226">
        <f>D46+D65+D77</f>
        <v>4104</v>
      </c>
    </row>
    <row r="81" ht="12">
      <c r="A81" s="61" t="s">
        <v>341</v>
      </c>
    </row>
    <row r="82" spans="1:3" ht="12">
      <c r="A82" s="37" t="s">
        <v>323</v>
      </c>
      <c r="C82" s="55">
        <f>C79</f>
        <v>4103577.74</v>
      </c>
    </row>
    <row r="84" spans="1:3" ht="12">
      <c r="A84" s="37" t="s">
        <v>1096</v>
      </c>
      <c r="B84" s="63" t="s">
        <v>324</v>
      </c>
      <c r="C84" s="63" t="s">
        <v>325</v>
      </c>
    </row>
    <row r="85" spans="1:3" ht="12">
      <c r="A85" s="37" t="s">
        <v>344</v>
      </c>
      <c r="B85" s="55">
        <v>832</v>
      </c>
      <c r="C85" s="234">
        <f>B85/B87</f>
        <v>0.6640063846767758</v>
      </c>
    </row>
    <row r="86" spans="1:3" ht="12">
      <c r="A86" s="37" t="s">
        <v>326</v>
      </c>
      <c r="B86" s="55">
        <v>421</v>
      </c>
      <c r="C86" s="234">
        <f>B86/B87</f>
        <v>0.33599361532322425</v>
      </c>
    </row>
    <row r="87" spans="1:3" ht="12">
      <c r="A87" s="37" t="s">
        <v>345</v>
      </c>
      <c r="B87" s="55">
        <f>SUM(B85:B86)</f>
        <v>1253</v>
      </c>
      <c r="C87" s="234">
        <f>SUM(C85:C86)</f>
        <v>1</v>
      </c>
    </row>
    <row r="89" spans="1:3" ht="12">
      <c r="A89" s="37" t="s">
        <v>327</v>
      </c>
      <c r="B89" s="13" t="s">
        <v>1097</v>
      </c>
      <c r="C89" s="63" t="s">
        <v>326</v>
      </c>
    </row>
    <row r="90" spans="1:3" ht="12">
      <c r="A90" s="37" t="s">
        <v>1098</v>
      </c>
      <c r="B90" s="55">
        <f>(C82-C77)*C85</f>
        <v>1861593.5192976857</v>
      </c>
      <c r="C90" s="55">
        <f>(C82-C77)*C86</f>
        <v>941984.2207023145</v>
      </c>
    </row>
    <row r="91" spans="1:3" ht="12">
      <c r="A91" s="37" t="s">
        <v>1013</v>
      </c>
      <c r="B91" s="55">
        <f>C77/2</f>
        <v>650000</v>
      </c>
      <c r="C91" s="55">
        <f>C77/2</f>
        <v>650000</v>
      </c>
    </row>
    <row r="92" spans="1:3" ht="12">
      <c r="A92" s="37" t="s">
        <v>345</v>
      </c>
      <c r="B92" s="55">
        <f>SUM(B90:B91)</f>
        <v>2511593.5192976855</v>
      </c>
      <c r="C92" s="55">
        <f>SUM(C90:C91)</f>
        <v>1591984.2207023145</v>
      </c>
    </row>
    <row r="94" spans="1:4" ht="12">
      <c r="A94" s="37" t="s">
        <v>328</v>
      </c>
      <c r="B94" s="55">
        <f>ROUND(B92/1000,0)</f>
        <v>2512</v>
      </c>
      <c r="C94" s="55">
        <f>ROUND(C92/1000,0)</f>
        <v>1592</v>
      </c>
      <c r="D94" s="55">
        <f>SUM(B94:C94)</f>
        <v>4104</v>
      </c>
    </row>
  </sheetData>
  <mergeCells count="2">
    <mergeCell ref="A4:D4"/>
    <mergeCell ref="A6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 dőlt"TISZAGYULAHÁZA 2008.ÉVI KÖLTSÉGVETÉSE&amp;R&amp;"Arial CE,Dőlt"&amp;8megszünt körjegyzőség miatt&amp;"Arial CE,Normál"&amp;10
</oddHeader>
    <oddFooter>&amp;C&amp;"Arial,Dőlt"&amp;8&amp;P. oldal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22">
      <selection activeCell="C42" sqref="C42"/>
    </sheetView>
  </sheetViews>
  <sheetFormatPr defaultColWidth="9.00390625" defaultRowHeight="12.75"/>
  <cols>
    <col min="1" max="1" width="8.625" style="37" customWidth="1"/>
    <col min="2" max="2" width="49.00390625" style="37" customWidth="1"/>
    <col min="3" max="3" width="14.375" style="55" customWidth="1"/>
    <col min="4" max="4" width="14.125" style="55" customWidth="1"/>
    <col min="5" max="16384" width="9.125" style="37" customWidth="1"/>
  </cols>
  <sheetData>
    <row r="1" spans="1:4" ht="12">
      <c r="A1" s="365" t="s">
        <v>1084</v>
      </c>
      <c r="B1" s="367"/>
      <c r="C1" s="356" t="s">
        <v>341</v>
      </c>
      <c r="D1" s="356" t="s">
        <v>1085</v>
      </c>
    </row>
    <row r="2" spans="1:4" ht="12">
      <c r="A2" s="368"/>
      <c r="B2" s="370"/>
      <c r="C2" s="491"/>
      <c r="D2" s="491"/>
    </row>
    <row r="3" spans="1:4" ht="12" customHeight="1">
      <c r="A3" s="324" t="s">
        <v>1078</v>
      </c>
      <c r="B3" s="474" t="s">
        <v>858</v>
      </c>
      <c r="C3" s="362" t="s">
        <v>1455</v>
      </c>
      <c r="D3" s="362" t="s">
        <v>1455</v>
      </c>
    </row>
    <row r="4" spans="1:4" ht="12">
      <c r="A4" s="325"/>
      <c r="B4" s="474"/>
      <c r="C4" s="363"/>
      <c r="D4" s="363"/>
    </row>
    <row r="5" spans="1:4" ht="12.75" thickBot="1">
      <c r="A5" s="426"/>
      <c r="B5" s="417"/>
      <c r="C5" s="364"/>
      <c r="D5" s="364"/>
    </row>
    <row r="6" spans="1:4" ht="12.75" thickTop="1">
      <c r="A6" s="41"/>
      <c r="B6" s="42"/>
      <c r="C6" s="5"/>
      <c r="D6" s="44"/>
    </row>
    <row r="7" spans="1:4" ht="12">
      <c r="A7" s="41"/>
      <c r="B7" s="42"/>
      <c r="C7" s="5"/>
      <c r="D7" s="44"/>
    </row>
    <row r="8" spans="1:4" ht="12">
      <c r="A8" s="329" t="s">
        <v>1086</v>
      </c>
      <c r="B8" s="486"/>
      <c r="C8" s="486"/>
      <c r="D8" s="487"/>
    </row>
    <row r="9" spans="1:4" ht="12">
      <c r="A9" s="488"/>
      <c r="B9" s="489"/>
      <c r="C9" s="489"/>
      <c r="D9" s="490"/>
    </row>
    <row r="10" spans="1:4" ht="12">
      <c r="A10" s="159"/>
      <c r="B10" s="159"/>
      <c r="C10" s="160"/>
      <c r="D10" s="44"/>
    </row>
    <row r="11" spans="1:4" ht="12">
      <c r="A11" s="41" t="s">
        <v>1087</v>
      </c>
      <c r="B11" s="41" t="s">
        <v>1231</v>
      </c>
      <c r="C11" s="5">
        <f>beö!$V$90</f>
        <v>717</v>
      </c>
      <c r="D11" s="44">
        <f>kiö!$Z$163</f>
        <v>2185.683303947645</v>
      </c>
    </row>
    <row r="12" spans="1:4" ht="12">
      <c r="A12" s="41" t="s">
        <v>1232</v>
      </c>
      <c r="B12" s="41" t="s">
        <v>1233</v>
      </c>
      <c r="C12" s="5">
        <f>beö!$W$90</f>
        <v>2195</v>
      </c>
      <c r="D12" s="44">
        <f>kiö!$AA$163</f>
        <v>6694.6094330328</v>
      </c>
    </row>
    <row r="13" spans="1:4" ht="12">
      <c r="A13" s="41" t="s">
        <v>1234</v>
      </c>
      <c r="B13" s="41" t="s">
        <v>1235</v>
      </c>
      <c r="C13" s="5">
        <f>beö!$X$90</f>
        <v>665</v>
      </c>
      <c r="D13" s="44">
        <f>kiö!$AB$163</f>
        <v>1877.7072630195548</v>
      </c>
    </row>
    <row r="14" spans="1:4" ht="12">
      <c r="A14" s="41" t="s">
        <v>1236</v>
      </c>
      <c r="B14" s="41" t="s">
        <v>1237</v>
      </c>
      <c r="C14" s="5">
        <f>beö!$I$90</f>
        <v>0</v>
      </c>
      <c r="D14" s="44">
        <f>kiö!$I$163</f>
        <v>0</v>
      </c>
    </row>
    <row r="15" spans="1:4" ht="12">
      <c r="A15" s="41" t="s">
        <v>1238</v>
      </c>
      <c r="B15" s="41" t="s">
        <v>1239</v>
      </c>
      <c r="C15" s="5">
        <f>beö!$B$90+beö!D93</f>
        <v>1602</v>
      </c>
      <c r="D15" s="44">
        <f>kiö!$B$163+kiö!D163</f>
        <v>62746</v>
      </c>
    </row>
    <row r="16" spans="1:4" ht="12">
      <c r="A16" s="41" t="s">
        <v>1240</v>
      </c>
      <c r="B16" s="41" t="s">
        <v>1241</v>
      </c>
      <c r="C16" s="5">
        <f>beö!$O$90</f>
        <v>0</v>
      </c>
      <c r="D16" s="44">
        <f>kiö!$P$163</f>
        <v>3837</v>
      </c>
    </row>
    <row r="17" spans="1:4" ht="12">
      <c r="A17" s="41" t="s">
        <v>1242</v>
      </c>
      <c r="B17" s="41" t="s">
        <v>1243</v>
      </c>
      <c r="C17" s="5">
        <f>beö!$J$90</f>
        <v>94</v>
      </c>
      <c r="D17" s="44">
        <f>kiö!$J$163</f>
        <v>1875</v>
      </c>
    </row>
    <row r="18" spans="1:4" ht="12">
      <c r="A18" s="41" t="s">
        <v>1244</v>
      </c>
      <c r="B18" s="41" t="s">
        <v>1245</v>
      </c>
      <c r="C18" s="5">
        <f>beö!$K$90</f>
        <v>5</v>
      </c>
      <c r="D18" s="44">
        <f>kiö!$K$163</f>
        <v>90</v>
      </c>
    </row>
    <row r="19" spans="1:4" ht="12">
      <c r="A19" s="41" t="s">
        <v>1246</v>
      </c>
      <c r="B19" s="41" t="s">
        <v>1247</v>
      </c>
      <c r="C19" s="5">
        <f>beö!$L$90</f>
        <v>0</v>
      </c>
      <c r="D19" s="44">
        <f>kiö!$L$163</f>
        <v>2040</v>
      </c>
    </row>
    <row r="20" spans="1:4" ht="12">
      <c r="A20" s="41" t="s">
        <v>1248</v>
      </c>
      <c r="B20" s="41" t="s">
        <v>1249</v>
      </c>
      <c r="C20" s="5">
        <f>beö!$Z$90</f>
        <v>0</v>
      </c>
      <c r="D20" s="44">
        <f>kiö!$AE$163</f>
        <v>0</v>
      </c>
    </row>
    <row r="21" spans="1:4" ht="12">
      <c r="A21" s="41" t="s">
        <v>1250</v>
      </c>
      <c r="B21" s="41" t="s">
        <v>1251</v>
      </c>
      <c r="C21" s="5">
        <v>78083</v>
      </c>
      <c r="D21" s="44">
        <v>0</v>
      </c>
    </row>
    <row r="22" spans="1:4" ht="12">
      <c r="A22" s="41" t="s">
        <v>546</v>
      </c>
      <c r="B22" s="41" t="s">
        <v>1266</v>
      </c>
      <c r="C22" s="5">
        <v>34209</v>
      </c>
      <c r="D22" s="44"/>
    </row>
    <row r="23" spans="1:4" ht="12">
      <c r="A23" s="41" t="s">
        <v>1252</v>
      </c>
      <c r="B23" s="41" t="s">
        <v>1253</v>
      </c>
      <c r="C23" s="5">
        <f>beö!$F$90</f>
        <v>0</v>
      </c>
      <c r="D23" s="44">
        <f>kiö!$G$163</f>
        <v>1188</v>
      </c>
    </row>
    <row r="24" spans="1:4" ht="12">
      <c r="A24" s="41" t="s">
        <v>1254</v>
      </c>
      <c r="B24" s="88" t="s">
        <v>1456</v>
      </c>
      <c r="C24" s="5"/>
      <c r="D24" s="44">
        <f>kiö!F163</f>
        <v>5312</v>
      </c>
    </row>
    <row r="25" spans="1:4" ht="12">
      <c r="A25" s="41" t="s">
        <v>1255</v>
      </c>
      <c r="B25" s="41" t="s">
        <v>1256</v>
      </c>
      <c r="C25" s="5">
        <f>beö!$P$90</f>
        <v>0</v>
      </c>
      <c r="D25" s="44">
        <f>kiö!$Q$163</f>
        <v>2543</v>
      </c>
    </row>
    <row r="26" spans="1:4" ht="12">
      <c r="A26" s="41" t="s">
        <v>1257</v>
      </c>
      <c r="B26" s="41" t="s">
        <v>1258</v>
      </c>
      <c r="C26" s="5">
        <f>beö!$Q$90</f>
        <v>3490</v>
      </c>
      <c r="D26" s="44">
        <f>kiö!$R$163</f>
        <v>2325</v>
      </c>
    </row>
    <row r="27" spans="1:4" ht="12">
      <c r="A27" s="41" t="s">
        <v>20</v>
      </c>
      <c r="B27" s="41" t="s">
        <v>1259</v>
      </c>
      <c r="C27" s="5">
        <f>beö!$R$90</f>
        <v>0</v>
      </c>
      <c r="D27" s="44">
        <f>kiö!$S$163</f>
        <v>1758</v>
      </c>
    </row>
    <row r="28" spans="1:4" ht="12">
      <c r="A28" s="41" t="s">
        <v>569</v>
      </c>
      <c r="B28" s="41" t="s">
        <v>1260</v>
      </c>
      <c r="C28" s="5">
        <f>beö!$S$90</f>
        <v>0</v>
      </c>
      <c r="D28" s="44">
        <f>kiö!$T$163</f>
        <v>7653</v>
      </c>
    </row>
    <row r="29" spans="1:4" ht="12">
      <c r="A29" s="41" t="s">
        <v>570</v>
      </c>
      <c r="B29" s="41" t="s">
        <v>1457</v>
      </c>
      <c r="C29" s="5"/>
      <c r="D29" s="44">
        <f>kiö!U163</f>
        <v>12026</v>
      </c>
    </row>
    <row r="30" spans="1:4" ht="12">
      <c r="A30" s="41" t="s">
        <v>1447</v>
      </c>
      <c r="B30" s="41" t="s">
        <v>1458</v>
      </c>
      <c r="C30" s="5">
        <f>beö!T93</f>
        <v>193</v>
      </c>
      <c r="D30" s="44">
        <f>kiö!V163</f>
        <v>1750</v>
      </c>
    </row>
    <row r="31" spans="1:4" ht="12">
      <c r="A31" s="41" t="s">
        <v>670</v>
      </c>
      <c r="B31" s="41" t="s">
        <v>1263</v>
      </c>
      <c r="C31" s="5">
        <f>beö!$M$90</f>
        <v>0</v>
      </c>
      <c r="D31" s="44">
        <f>kiö!$M163</f>
        <v>1800</v>
      </c>
    </row>
    <row r="32" spans="1:4" ht="12">
      <c r="A32" s="41" t="s">
        <v>831</v>
      </c>
      <c r="B32" s="41" t="s">
        <v>1268</v>
      </c>
      <c r="C32" s="5"/>
      <c r="D32" s="44">
        <f>kiö!$N163</f>
        <v>0</v>
      </c>
    </row>
    <row r="33" spans="1:4" ht="12">
      <c r="A33" s="41" t="s">
        <v>1261</v>
      </c>
      <c r="B33" s="41" t="s">
        <v>1262</v>
      </c>
      <c r="C33" s="5">
        <f>beö!$AB$90</f>
        <v>0</v>
      </c>
      <c r="D33" s="44">
        <f>kiö!$AF163</f>
        <v>3552</v>
      </c>
    </row>
    <row r="34" spans="1:4" ht="12">
      <c r="A34" s="41"/>
      <c r="B34" s="41" t="s">
        <v>782</v>
      </c>
      <c r="C34" s="5">
        <f>SUM(C11:C33)</f>
        <v>121253</v>
      </c>
      <c r="D34" s="44">
        <f>SUM(D11:D33)</f>
        <v>121253</v>
      </c>
    </row>
    <row r="35" spans="1:4" s="61" customFormat="1" ht="12">
      <c r="A35" s="56"/>
      <c r="B35" s="56" t="s">
        <v>272</v>
      </c>
      <c r="C35" s="58">
        <f>C34</f>
        <v>121253</v>
      </c>
      <c r="D35" s="59">
        <f>D34</f>
        <v>121253</v>
      </c>
    </row>
    <row r="36" spans="1:4" ht="12">
      <c r="A36" s="41"/>
      <c r="B36" s="41"/>
      <c r="C36" s="5"/>
      <c r="D36" s="44"/>
    </row>
    <row r="37" spans="1:4" ht="12">
      <c r="A37" s="329" t="s">
        <v>1264</v>
      </c>
      <c r="B37" s="486"/>
      <c r="C37" s="486"/>
      <c r="D37" s="487"/>
    </row>
    <row r="38" spans="1:4" ht="12">
      <c r="A38" s="488"/>
      <c r="B38" s="489"/>
      <c r="C38" s="489"/>
      <c r="D38" s="490"/>
    </row>
    <row r="39" spans="1:4" ht="12">
      <c r="A39" s="41"/>
      <c r="B39" s="41"/>
      <c r="C39" s="5"/>
      <c r="D39" s="44"/>
    </row>
    <row r="40" spans="1:4" ht="12">
      <c r="A40" s="41" t="s">
        <v>1238</v>
      </c>
      <c r="B40" s="41" t="s">
        <v>965</v>
      </c>
      <c r="C40" s="5"/>
      <c r="D40" s="44">
        <v>500</v>
      </c>
    </row>
    <row r="41" spans="1:4" ht="12">
      <c r="A41" s="41" t="s">
        <v>1572</v>
      </c>
      <c r="B41" s="41" t="s">
        <v>708</v>
      </c>
      <c r="C41" s="5"/>
      <c r="D41" s="44">
        <v>600</v>
      </c>
    </row>
    <row r="42" spans="1:4" ht="12">
      <c r="A42" s="49"/>
      <c r="B42" s="49"/>
      <c r="C42" s="51"/>
      <c r="D42" s="53"/>
    </row>
  </sheetData>
  <mergeCells count="9">
    <mergeCell ref="D3:D5"/>
    <mergeCell ref="A8:D9"/>
    <mergeCell ref="A37:D38"/>
    <mergeCell ref="C1:C2"/>
    <mergeCell ref="D1:D2"/>
    <mergeCell ref="A3:A5"/>
    <mergeCell ref="B3:B5"/>
    <mergeCell ref="C3:C5"/>
    <mergeCell ref="A1:B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dőlt"&amp;12Tiszagyulaháza 2008.évi költségvetési 
bevételei és kiadásai szakfeladatonként&amp;R&amp;"Arial,Dőlt"&amp;8 8.számú melléklet
adatok ezer forintban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37">
      <selection activeCell="F20" sqref="F20"/>
    </sheetView>
  </sheetViews>
  <sheetFormatPr defaultColWidth="9.00390625" defaultRowHeight="12.75"/>
  <cols>
    <col min="1" max="1" width="5.25390625" style="37" customWidth="1"/>
    <col min="2" max="2" width="42.75390625" style="37" customWidth="1"/>
    <col min="3" max="3" width="12.25390625" style="37" customWidth="1"/>
    <col min="4" max="4" width="12.875" style="55" bestFit="1" customWidth="1"/>
    <col min="5" max="5" width="13.00390625" style="55" bestFit="1" customWidth="1"/>
    <col min="6" max="16384" width="9.125" style="37" customWidth="1"/>
  </cols>
  <sheetData>
    <row r="1" spans="1:6" ht="12">
      <c r="A1" s="495" t="s">
        <v>360</v>
      </c>
      <c r="B1" s="324" t="s">
        <v>361</v>
      </c>
      <c r="C1" s="324">
        <v>2008</v>
      </c>
      <c r="D1" s="324">
        <v>2009</v>
      </c>
      <c r="E1" s="324">
        <v>2010</v>
      </c>
      <c r="F1" s="87"/>
    </row>
    <row r="2" spans="1:6" ht="12">
      <c r="A2" s="496"/>
      <c r="B2" s="325"/>
      <c r="C2" s="325"/>
      <c r="D2" s="325"/>
      <c r="E2" s="325"/>
      <c r="F2" s="87"/>
    </row>
    <row r="3" spans="1:6" ht="21.75" customHeight="1" thickBot="1">
      <c r="A3" s="497"/>
      <c r="B3" s="326"/>
      <c r="C3" s="326"/>
      <c r="D3" s="326"/>
      <c r="E3" s="326"/>
      <c r="F3" s="87"/>
    </row>
    <row r="4" spans="1:6" ht="12.75" thickTop="1">
      <c r="A4" s="41"/>
      <c r="B4" s="41"/>
      <c r="C4" s="41"/>
      <c r="D4" s="5"/>
      <c r="E4" s="44"/>
      <c r="F4" s="87"/>
    </row>
    <row r="5" spans="1:6" ht="12.75" thickBot="1">
      <c r="A5" s="492" t="s">
        <v>362</v>
      </c>
      <c r="B5" s="493"/>
      <c r="C5" s="493"/>
      <c r="D5" s="493"/>
      <c r="E5" s="494"/>
      <c r="F5" s="87"/>
    </row>
    <row r="6" spans="1:6" ht="12">
      <c r="A6" s="43"/>
      <c r="B6" s="41"/>
      <c r="C6" s="41"/>
      <c r="D6" s="5"/>
      <c r="E6" s="44"/>
      <c r="F6" s="87"/>
    </row>
    <row r="7" spans="1:6" ht="12">
      <c r="A7" s="43"/>
      <c r="B7" s="41"/>
      <c r="C7" s="5"/>
      <c r="D7" s="5"/>
      <c r="E7" s="44"/>
      <c r="F7" s="87"/>
    </row>
    <row r="8" spans="1:5" ht="12">
      <c r="A8" s="43" t="s">
        <v>1265</v>
      </c>
      <c r="B8" s="41" t="s">
        <v>363</v>
      </c>
      <c r="C8" s="5">
        <v>3676</v>
      </c>
      <c r="D8" s="5">
        <f>C8*104%</f>
        <v>3823.04</v>
      </c>
      <c r="E8" s="44">
        <f>D8*103%</f>
        <v>3937.7312</v>
      </c>
    </row>
    <row r="9" spans="1:5" ht="12">
      <c r="A9" s="43" t="s">
        <v>364</v>
      </c>
      <c r="B9" s="41" t="s">
        <v>365</v>
      </c>
      <c r="C9" s="5">
        <v>344</v>
      </c>
      <c r="D9" s="5">
        <f>C9*104%</f>
        <v>357.76</v>
      </c>
      <c r="E9" s="44">
        <f>D9*103%</f>
        <v>368.4928</v>
      </c>
    </row>
    <row r="10" spans="1:5" ht="12">
      <c r="A10" s="43" t="s">
        <v>366</v>
      </c>
      <c r="B10" s="41" t="s">
        <v>1551</v>
      </c>
      <c r="C10" s="5">
        <v>44940</v>
      </c>
      <c r="D10" s="5">
        <f>C10*104%</f>
        <v>46737.6</v>
      </c>
      <c r="E10" s="44">
        <f>D10*103%</f>
        <v>48139.728</v>
      </c>
    </row>
    <row r="11" spans="1:5" ht="12">
      <c r="A11" s="43" t="s">
        <v>367</v>
      </c>
      <c r="B11" s="41" t="s">
        <v>944</v>
      </c>
      <c r="C11" s="5">
        <v>28729</v>
      </c>
      <c r="D11" s="5">
        <f>C11*104%</f>
        <v>29878.16</v>
      </c>
      <c r="E11" s="44">
        <f>D11*103%</f>
        <v>30774.504800000002</v>
      </c>
    </row>
    <row r="12" spans="1:5" ht="12">
      <c r="A12" s="43" t="s">
        <v>368</v>
      </c>
      <c r="B12" s="41" t="s">
        <v>1049</v>
      </c>
      <c r="C12" s="5">
        <v>5285</v>
      </c>
      <c r="D12" s="5">
        <f>C12*104%</f>
        <v>5496.400000000001</v>
      </c>
      <c r="E12" s="44">
        <f>D12*103%</f>
        <v>5661.292</v>
      </c>
    </row>
    <row r="13" spans="1:5" ht="12">
      <c r="A13" s="43" t="s">
        <v>1050</v>
      </c>
      <c r="B13" s="41" t="s">
        <v>1051</v>
      </c>
      <c r="C13" s="5">
        <v>34209</v>
      </c>
      <c r="D13" s="5">
        <v>36962</v>
      </c>
      <c r="E13" s="44">
        <v>37831</v>
      </c>
    </row>
    <row r="14" spans="1:5" ht="12">
      <c r="A14" s="43" t="s">
        <v>1052</v>
      </c>
      <c r="B14" s="41" t="s">
        <v>1053</v>
      </c>
      <c r="C14" s="5"/>
      <c r="D14" s="5">
        <f>C14*104%</f>
        <v>0</v>
      </c>
      <c r="E14" s="44"/>
    </row>
    <row r="15" spans="1:5" ht="12">
      <c r="A15" s="60" t="s">
        <v>1054</v>
      </c>
      <c r="B15" s="56" t="s">
        <v>1055</v>
      </c>
      <c r="C15" s="58">
        <f>SUM(C8:C14)</f>
        <v>117183</v>
      </c>
      <c r="D15" s="58">
        <f>SUM(D8:D14)</f>
        <v>123254.95999999999</v>
      </c>
      <c r="E15" s="59">
        <f>SUM(E8:E14)</f>
        <v>126712.74880000002</v>
      </c>
    </row>
    <row r="16" spans="1:5" ht="12">
      <c r="A16" s="43"/>
      <c r="B16" s="41"/>
      <c r="C16" s="5"/>
      <c r="D16" s="5"/>
      <c r="E16" s="44"/>
    </row>
    <row r="17" spans="1:5" ht="12">
      <c r="A17" s="43" t="s">
        <v>860</v>
      </c>
      <c r="B17" s="41" t="s">
        <v>797</v>
      </c>
      <c r="C17" s="5">
        <v>24219</v>
      </c>
      <c r="D17" s="5">
        <f>C17*110%</f>
        <v>26640.9</v>
      </c>
      <c r="E17" s="5">
        <f>D17*104%</f>
        <v>27706.536000000004</v>
      </c>
    </row>
    <row r="18" spans="1:5" ht="12">
      <c r="A18" s="43" t="s">
        <v>863</v>
      </c>
      <c r="B18" s="41" t="s">
        <v>174</v>
      </c>
      <c r="C18" s="5">
        <v>7397</v>
      </c>
      <c r="D18" s="5">
        <f>C18*110%</f>
        <v>8136.700000000001</v>
      </c>
      <c r="E18" s="5">
        <f aca="true" t="shared" si="0" ref="E18:E24">D18*104%</f>
        <v>8462.168000000001</v>
      </c>
    </row>
    <row r="19" spans="1:5" ht="12">
      <c r="A19" s="43" t="s">
        <v>865</v>
      </c>
      <c r="B19" s="41" t="s">
        <v>339</v>
      </c>
      <c r="C19" s="5">
        <v>21247</v>
      </c>
      <c r="D19" s="5">
        <f>C19*107%</f>
        <v>22734.29</v>
      </c>
      <c r="E19" s="5">
        <f t="shared" si="0"/>
        <v>23643.661600000003</v>
      </c>
    </row>
    <row r="20" spans="1:5" ht="12">
      <c r="A20" s="43" t="s">
        <v>866</v>
      </c>
      <c r="B20" s="41" t="s">
        <v>1056</v>
      </c>
      <c r="C20" s="5">
        <v>2535</v>
      </c>
      <c r="D20" s="5">
        <f>C20*107%</f>
        <v>2712.4500000000003</v>
      </c>
      <c r="E20" s="5">
        <f t="shared" si="0"/>
        <v>2820.9480000000003</v>
      </c>
    </row>
    <row r="21" spans="1:5" ht="12">
      <c r="A21" s="43" t="s">
        <v>868</v>
      </c>
      <c r="B21" s="41" t="s">
        <v>1057</v>
      </c>
      <c r="C21" s="5">
        <v>32498</v>
      </c>
      <c r="D21" s="5">
        <f>C21*107%</f>
        <v>34772.86</v>
      </c>
      <c r="E21" s="5">
        <f>36164-1515</f>
        <v>34649</v>
      </c>
    </row>
    <row r="22" spans="1:5" ht="12">
      <c r="A22" s="43" t="s">
        <v>872</v>
      </c>
      <c r="B22" s="41" t="s">
        <v>209</v>
      </c>
      <c r="C22" s="5">
        <v>21429</v>
      </c>
      <c r="D22" s="5">
        <f>C22+1975+552</f>
        <v>23956</v>
      </c>
      <c r="E22" s="5">
        <v>24914</v>
      </c>
    </row>
    <row r="23" spans="1:5" ht="12">
      <c r="A23" s="43" t="s">
        <v>1058</v>
      </c>
      <c r="B23" s="41" t="s">
        <v>244</v>
      </c>
      <c r="C23" s="5">
        <v>8000</v>
      </c>
      <c r="D23" s="5">
        <v>8000</v>
      </c>
      <c r="E23" s="5">
        <f t="shared" si="0"/>
        <v>8320</v>
      </c>
    </row>
    <row r="24" spans="1:5" ht="12">
      <c r="A24" s="43" t="s">
        <v>245</v>
      </c>
      <c r="B24" s="41" t="s">
        <v>246</v>
      </c>
      <c r="C24" s="5">
        <v>500</v>
      </c>
      <c r="D24" s="5">
        <f>C24*107%</f>
        <v>535</v>
      </c>
      <c r="E24" s="5">
        <f t="shared" si="0"/>
        <v>556.4</v>
      </c>
    </row>
    <row r="25" spans="1:5" ht="12">
      <c r="A25" s="60" t="s">
        <v>247</v>
      </c>
      <c r="B25" s="56" t="s">
        <v>248</v>
      </c>
      <c r="C25" s="58">
        <f>SUM(C17:C24)</f>
        <v>117825</v>
      </c>
      <c r="D25" s="58">
        <f>SUM(D17:D24)</f>
        <v>127488.20000000001</v>
      </c>
      <c r="E25" s="59">
        <f>SUM(E17:E24)</f>
        <v>131072.71360000002</v>
      </c>
    </row>
    <row r="26" spans="1:5" ht="12">
      <c r="A26" s="41"/>
      <c r="B26" s="41"/>
      <c r="C26" s="5"/>
      <c r="D26" s="5"/>
      <c r="E26" s="44"/>
    </row>
    <row r="27" spans="1:5" ht="12">
      <c r="A27" s="41"/>
      <c r="B27" s="41"/>
      <c r="C27" s="5"/>
      <c r="D27" s="5"/>
      <c r="E27" s="44"/>
    </row>
    <row r="28" spans="1:5" ht="12.75" thickBot="1">
      <c r="A28" s="492" t="s">
        <v>249</v>
      </c>
      <c r="B28" s="493"/>
      <c r="C28" s="493"/>
      <c r="D28" s="493"/>
      <c r="E28" s="494"/>
    </row>
    <row r="29" spans="1:5" ht="12">
      <c r="A29" s="43"/>
      <c r="B29" s="41"/>
      <c r="C29" s="5"/>
      <c r="D29" s="5"/>
      <c r="E29" s="44"/>
    </row>
    <row r="30" spans="1:5" ht="12">
      <c r="A30" s="43"/>
      <c r="B30" s="41"/>
      <c r="C30" s="5"/>
      <c r="D30" s="5"/>
      <c r="E30" s="44"/>
    </row>
    <row r="31" spans="1:5" ht="12">
      <c r="A31" s="43" t="s">
        <v>874</v>
      </c>
      <c r="B31" s="41" t="s">
        <v>57</v>
      </c>
      <c r="C31" s="5">
        <v>0</v>
      </c>
      <c r="D31" s="5">
        <f>C31*104%</f>
        <v>0</v>
      </c>
      <c r="E31" s="44">
        <f>D31*103%</f>
        <v>0</v>
      </c>
    </row>
    <row r="32" spans="1:5" ht="12">
      <c r="A32" s="43" t="s">
        <v>250</v>
      </c>
      <c r="B32" s="41" t="s">
        <v>251</v>
      </c>
      <c r="C32" s="5">
        <v>2042</v>
      </c>
      <c r="D32" s="5">
        <f>C32*104%</f>
        <v>2123.6800000000003</v>
      </c>
      <c r="E32" s="44">
        <f>D32*103%</f>
        <v>2187.3904</v>
      </c>
    </row>
    <row r="33" spans="1:5" ht="12">
      <c r="A33" s="43" t="s">
        <v>252</v>
      </c>
      <c r="B33" s="41" t="s">
        <v>253</v>
      </c>
      <c r="C33" s="5"/>
      <c r="D33" s="5">
        <f>C33*104%</f>
        <v>0</v>
      </c>
      <c r="E33" s="44">
        <f>D33*103%</f>
        <v>0</v>
      </c>
    </row>
    <row r="34" spans="1:5" ht="12">
      <c r="A34" s="43" t="s">
        <v>254</v>
      </c>
      <c r="B34" s="41" t="s">
        <v>264</v>
      </c>
      <c r="C34" s="5"/>
      <c r="D34" s="5"/>
      <c r="E34" s="44">
        <f>D34*103%</f>
        <v>0</v>
      </c>
    </row>
    <row r="35" spans="1:5" ht="12">
      <c r="A35" s="43" t="s">
        <v>931</v>
      </c>
      <c r="B35" s="41" t="s">
        <v>932</v>
      </c>
      <c r="C35" s="5"/>
      <c r="D35" s="5"/>
      <c r="E35" s="44"/>
    </row>
    <row r="36" spans="1:5" ht="12">
      <c r="A36" s="43">
        <v>25</v>
      </c>
      <c r="B36" s="41" t="s">
        <v>944</v>
      </c>
      <c r="C36" s="5">
        <v>2028</v>
      </c>
      <c r="D36" s="5">
        <f>C36*104%</f>
        <v>2109.12</v>
      </c>
      <c r="E36" s="44">
        <f>D36*103%</f>
        <v>2172.3936</v>
      </c>
    </row>
    <row r="37" spans="1:5" ht="12">
      <c r="A37" s="43">
        <v>26</v>
      </c>
      <c r="B37" s="41" t="s">
        <v>1053</v>
      </c>
      <c r="C37" s="5"/>
      <c r="D37" s="5"/>
      <c r="E37" s="44"/>
    </row>
    <row r="38" spans="1:5" ht="12">
      <c r="A38" s="60">
        <v>27</v>
      </c>
      <c r="B38" s="56" t="s">
        <v>933</v>
      </c>
      <c r="C38" s="58">
        <f>SUM(C31:C37)</f>
        <v>4070</v>
      </c>
      <c r="D38" s="58">
        <f>SUM(D31:D37)</f>
        <v>4232.8</v>
      </c>
      <c r="E38" s="59">
        <f>SUM(E31:E37)</f>
        <v>4359.784</v>
      </c>
    </row>
    <row r="39" spans="1:5" ht="12">
      <c r="A39" s="43"/>
      <c r="B39" s="41"/>
      <c r="C39" s="5"/>
      <c r="D39" s="5"/>
      <c r="E39" s="44"/>
    </row>
    <row r="40" spans="1:5" ht="12">
      <c r="A40" s="43">
        <v>28</v>
      </c>
      <c r="B40" s="41" t="s">
        <v>934</v>
      </c>
      <c r="C40" s="5"/>
      <c r="D40" s="5"/>
      <c r="E40" s="44"/>
    </row>
    <row r="41" spans="1:5" ht="12">
      <c r="A41" s="43">
        <v>29</v>
      </c>
      <c r="B41" s="41" t="s">
        <v>935</v>
      </c>
      <c r="C41" s="5">
        <v>1094</v>
      </c>
      <c r="D41" s="5"/>
      <c r="E41" s="44"/>
    </row>
    <row r="42" spans="1:5" ht="12">
      <c r="A42" s="43">
        <v>30</v>
      </c>
      <c r="B42" s="41" t="s">
        <v>936</v>
      </c>
      <c r="C42" s="5"/>
      <c r="D42" s="5"/>
      <c r="E42" s="44"/>
    </row>
    <row r="43" spans="1:5" ht="12">
      <c r="A43" s="43">
        <v>31</v>
      </c>
      <c r="B43" s="41" t="s">
        <v>1171</v>
      </c>
      <c r="C43" s="5"/>
      <c r="D43" s="5"/>
      <c r="E43" s="44"/>
    </row>
    <row r="44" spans="1:5" ht="12">
      <c r="A44" s="43"/>
      <c r="B44" s="41" t="s">
        <v>1459</v>
      </c>
      <c r="C44" s="5">
        <v>2334</v>
      </c>
      <c r="D44" s="5">
        <v>2334</v>
      </c>
      <c r="E44" s="44"/>
    </row>
    <row r="45" spans="1:5" ht="12">
      <c r="A45" s="60">
        <v>32</v>
      </c>
      <c r="B45" s="56" t="s">
        <v>1083</v>
      </c>
      <c r="C45" s="58">
        <f>SUM(C40:C44)</f>
        <v>3428</v>
      </c>
      <c r="D45" s="58">
        <f>SUM(D40:D43)</f>
        <v>0</v>
      </c>
      <c r="E45" s="59">
        <f>SUM(E40:E43)</f>
        <v>0</v>
      </c>
    </row>
    <row r="46" spans="1:5" ht="12">
      <c r="A46" s="41"/>
      <c r="B46" s="41"/>
      <c r="C46" s="5"/>
      <c r="D46" s="5"/>
      <c r="E46" s="44"/>
    </row>
    <row r="47" spans="1:5" ht="12">
      <c r="A47" s="60" t="s">
        <v>937</v>
      </c>
      <c r="B47" s="56" t="s">
        <v>342</v>
      </c>
      <c r="C47" s="58">
        <f>C15+C38</f>
        <v>121253</v>
      </c>
      <c r="D47" s="58">
        <f>D15+D38</f>
        <v>127487.76</v>
      </c>
      <c r="E47" s="59">
        <f>E15+E38</f>
        <v>131072.53280000002</v>
      </c>
    </row>
    <row r="48" spans="1:5" ht="12">
      <c r="A48" s="60" t="s">
        <v>938</v>
      </c>
      <c r="B48" s="56" t="s">
        <v>1019</v>
      </c>
      <c r="C48" s="58">
        <f>C25+C45</f>
        <v>121253</v>
      </c>
      <c r="D48" s="58">
        <f>D25+D45</f>
        <v>127488.20000000001</v>
      </c>
      <c r="E48" s="59">
        <f>E25+E45</f>
        <v>131072.71360000002</v>
      </c>
    </row>
    <row r="49" spans="1:5" ht="12">
      <c r="A49" s="49"/>
      <c r="B49" s="49"/>
      <c r="C49" s="49"/>
      <c r="D49" s="51"/>
      <c r="E49" s="53"/>
    </row>
    <row r="53" spans="2:5" ht="12">
      <c r="B53" s="37" t="s">
        <v>939</v>
      </c>
      <c r="C53" s="55">
        <f>C47-C48</f>
        <v>0</v>
      </c>
      <c r="D53" s="55">
        <f>D47-D48</f>
        <v>-0.4400000000168802</v>
      </c>
      <c r="E53" s="55">
        <f>E47-E48</f>
        <v>-0.1808000000019092</v>
      </c>
    </row>
  </sheetData>
  <mergeCells count="7">
    <mergeCell ref="E1:E3"/>
    <mergeCell ref="A5:E5"/>
    <mergeCell ref="A28:E28"/>
    <mergeCell ref="A1:A3"/>
    <mergeCell ref="B1:B3"/>
    <mergeCell ref="C1:C3"/>
    <mergeCell ref="D1:D3"/>
  </mergeCells>
  <printOptions horizontalCentered="1"/>
  <pageMargins left="0.7874015748031497" right="0.7874015748031497" top="1.535433070866142" bottom="0.8267716535433072" header="0.5118110236220472" footer="0.5118110236220472"/>
  <pageSetup horizontalDpi="300" verticalDpi="300" orientation="portrait" paperSize="9" r:id="rId1"/>
  <headerFooter alignWithMargins="0">
    <oddHeader>&amp;C
&amp;"Arial,Félkövér dőlt"&amp;12Tiszagyulaháza község müködési és felhalmozási célú bevételeit és kiadásait bemutató mérleg 2008-2010 
&amp;R&amp;"Arial,Dőlt"&amp;8 9.számú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F16">
      <selection activeCell="R22" sqref="R22"/>
    </sheetView>
  </sheetViews>
  <sheetFormatPr defaultColWidth="9.00390625" defaultRowHeight="12.75"/>
  <cols>
    <col min="1" max="1" width="4.25390625" style="0" customWidth="1"/>
    <col min="4" max="4" width="15.75390625" style="0" customWidth="1"/>
    <col min="5" max="5" width="6.00390625" style="0" customWidth="1"/>
    <col min="6" max="7" width="7.25390625" style="0" customWidth="1"/>
    <col min="8" max="8" width="6.25390625" style="0" customWidth="1"/>
    <col min="9" max="9" width="6.125" style="0" customWidth="1"/>
    <col min="10" max="10" width="7.00390625" style="0" customWidth="1"/>
    <col min="11" max="11" width="5.875" style="0" customWidth="1"/>
    <col min="12" max="12" width="8.875" style="0" customWidth="1"/>
    <col min="13" max="13" width="11.00390625" style="0" customWidth="1"/>
    <col min="14" max="14" width="7.75390625" style="0" customWidth="1"/>
  </cols>
  <sheetData>
    <row r="2" spans="1:17" ht="12.75">
      <c r="A2" s="291" t="s">
        <v>964</v>
      </c>
      <c r="B2" s="508" t="s">
        <v>1426</v>
      </c>
      <c r="C2" s="508"/>
      <c r="D2" s="508"/>
      <c r="E2" s="292" t="s">
        <v>814</v>
      </c>
      <c r="F2" s="292" t="s">
        <v>815</v>
      </c>
      <c r="G2" s="292" t="s">
        <v>816</v>
      </c>
      <c r="H2" s="292" t="s">
        <v>817</v>
      </c>
      <c r="I2" s="292" t="s">
        <v>818</v>
      </c>
      <c r="J2" s="292" t="s">
        <v>819</v>
      </c>
      <c r="K2" s="292" t="s">
        <v>820</v>
      </c>
      <c r="L2" s="292" t="s">
        <v>821</v>
      </c>
      <c r="M2" s="292" t="s">
        <v>822</v>
      </c>
      <c r="N2" s="292" t="s">
        <v>823</v>
      </c>
      <c r="O2" s="292" t="s">
        <v>824</v>
      </c>
      <c r="P2" s="292" t="s">
        <v>825</v>
      </c>
      <c r="Q2" s="292" t="s">
        <v>966</v>
      </c>
    </row>
    <row r="3" spans="1:17" ht="12.75">
      <c r="A3" s="505" t="s">
        <v>341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7"/>
    </row>
    <row r="4" spans="1:17" ht="12.75">
      <c r="A4" s="509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1"/>
    </row>
    <row r="5" spans="1:17" ht="12.75">
      <c r="A5" s="293" t="s">
        <v>1265</v>
      </c>
      <c r="B5" s="498" t="s">
        <v>1626</v>
      </c>
      <c r="C5" s="498"/>
      <c r="D5" s="498"/>
      <c r="E5" s="294">
        <v>396</v>
      </c>
      <c r="F5" s="294">
        <v>350</v>
      </c>
      <c r="G5" s="294">
        <v>370</v>
      </c>
      <c r="H5" s="294">
        <v>348</v>
      </c>
      <c r="I5" s="294">
        <v>392</v>
      </c>
      <c r="J5" s="294">
        <f>150+10+40+7</f>
        <v>207</v>
      </c>
      <c r="K5" s="294">
        <f>130+40+7</f>
        <v>177</v>
      </c>
      <c r="L5" s="294">
        <f>120+40+7</f>
        <v>167</v>
      </c>
      <c r="M5" s="294">
        <v>301</v>
      </c>
      <c r="N5" s="294">
        <v>336</v>
      </c>
      <c r="O5" s="294">
        <v>356</v>
      </c>
      <c r="P5" s="294">
        <v>286</v>
      </c>
      <c r="Q5" s="294">
        <f>SUM(E5:P5)</f>
        <v>3686</v>
      </c>
    </row>
    <row r="6" spans="1:17" ht="12.75">
      <c r="A6" s="293" t="s">
        <v>364</v>
      </c>
      <c r="B6" s="498" t="s">
        <v>967</v>
      </c>
      <c r="C6" s="498"/>
      <c r="D6" s="498"/>
      <c r="E6" s="295">
        <f>SUM(E7:E9)</f>
        <v>2408.861</v>
      </c>
      <c r="F6" s="295">
        <f aca="true" t="shared" si="0" ref="F6:N6">SUM(F7:F9)</f>
        <v>3392.399</v>
      </c>
      <c r="G6" s="295">
        <f t="shared" si="0"/>
        <v>3904.0330000000004</v>
      </c>
      <c r="H6" s="295">
        <f t="shared" si="0"/>
        <v>2582.603</v>
      </c>
      <c r="I6" s="295">
        <f t="shared" si="0"/>
        <v>1628.022</v>
      </c>
      <c r="J6" s="295">
        <f t="shared" si="0"/>
        <v>2582.603</v>
      </c>
      <c r="K6" s="295">
        <f t="shared" si="0"/>
        <v>2582.603</v>
      </c>
      <c r="L6" s="295">
        <f t="shared" si="0"/>
        <v>2902.13</v>
      </c>
      <c r="M6" s="295">
        <f t="shared" si="0"/>
        <v>3904.0330000000004</v>
      </c>
      <c r="N6" s="295">
        <f t="shared" si="0"/>
        <v>2581.603</v>
      </c>
      <c r="O6" s="295">
        <f>SUM(O7:O9)</f>
        <v>2582.603</v>
      </c>
      <c r="P6" s="295">
        <f>SUM(P7:P9)</f>
        <v>2091.334</v>
      </c>
      <c r="Q6" s="295">
        <f>SUM(E6:P6)</f>
        <v>33142.827</v>
      </c>
    </row>
    <row r="7" spans="1:17" ht="12.75">
      <c r="A7" s="293"/>
      <c r="B7" s="500" t="s">
        <v>968</v>
      </c>
      <c r="C7" s="500"/>
      <c r="D7" s="500"/>
      <c r="E7" s="296">
        <v>42</v>
      </c>
      <c r="F7" s="296">
        <v>41</v>
      </c>
      <c r="G7" s="296">
        <v>953</v>
      </c>
      <c r="H7" s="296">
        <v>42</v>
      </c>
      <c r="I7" s="296">
        <v>42</v>
      </c>
      <c r="J7" s="296">
        <v>41</v>
      </c>
      <c r="K7" s="296">
        <v>41</v>
      </c>
      <c r="L7" s="296">
        <v>42</v>
      </c>
      <c r="M7" s="296">
        <v>953</v>
      </c>
      <c r="N7" s="296">
        <v>41</v>
      </c>
      <c r="O7" s="296">
        <v>42</v>
      </c>
      <c r="P7" s="296">
        <v>42</v>
      </c>
      <c r="Q7" s="296">
        <f aca="true" t="shared" si="1" ref="Q7:Q34">SUM(E7:P7)</f>
        <v>2322</v>
      </c>
    </row>
    <row r="8" spans="1:17" ht="12.75">
      <c r="A8" s="293"/>
      <c r="B8" s="500" t="s">
        <v>969</v>
      </c>
      <c r="C8" s="500"/>
      <c r="D8" s="500"/>
      <c r="E8" s="297">
        <f>(28957*0.073)+248</f>
        <v>2361.861</v>
      </c>
      <c r="F8" s="297">
        <f>(28957*0.107)+248</f>
        <v>3346.399</v>
      </c>
      <c r="G8" s="297">
        <f>(28957*0.069)+700+248</f>
        <v>2946.0330000000004</v>
      </c>
      <c r="H8" s="298">
        <f>(28957*0.079)+248</f>
        <v>2535.603</v>
      </c>
      <c r="I8" s="297">
        <f>(28957*0.046)+248</f>
        <v>1580.022</v>
      </c>
      <c r="J8" s="297">
        <f>(28957*0.079)+248</f>
        <v>2535.603</v>
      </c>
      <c r="K8" s="297">
        <f>(28957*0.079)+248</f>
        <v>2535.603</v>
      </c>
      <c r="L8" s="297">
        <f>(28957*0.09)+248</f>
        <v>2854.13</v>
      </c>
      <c r="M8" s="297">
        <f>(28957*0.069)+700+248</f>
        <v>2946.0330000000004</v>
      </c>
      <c r="N8" s="297">
        <f>(28957*0.079)+248</f>
        <v>2535.603</v>
      </c>
      <c r="O8" s="297">
        <f>(28957*0.079)+248</f>
        <v>2535.603</v>
      </c>
      <c r="P8" s="297">
        <f>(28957*0.062)+249</f>
        <v>2044.334</v>
      </c>
      <c r="Q8" s="297">
        <f>SUM(E8:P8)</f>
        <v>30756.826999999997</v>
      </c>
    </row>
    <row r="9" spans="1:17" ht="12.75">
      <c r="A9" s="293"/>
      <c r="B9" s="500" t="s">
        <v>970</v>
      </c>
      <c r="C9" s="500"/>
      <c r="D9" s="500"/>
      <c r="E9" s="297">
        <v>5</v>
      </c>
      <c r="F9" s="297">
        <v>5</v>
      </c>
      <c r="G9" s="297">
        <v>5</v>
      </c>
      <c r="H9" s="298">
        <v>5</v>
      </c>
      <c r="I9" s="297">
        <v>6</v>
      </c>
      <c r="J9" s="297">
        <v>6</v>
      </c>
      <c r="K9" s="297">
        <v>6</v>
      </c>
      <c r="L9" s="297">
        <v>6</v>
      </c>
      <c r="M9" s="297">
        <v>5</v>
      </c>
      <c r="N9" s="297">
        <v>5</v>
      </c>
      <c r="O9" s="297">
        <v>5</v>
      </c>
      <c r="P9" s="297">
        <v>5</v>
      </c>
      <c r="Q9" s="297">
        <f>SUM(E9:P9)</f>
        <v>64</v>
      </c>
    </row>
    <row r="10" spans="1:17" ht="12.75">
      <c r="A10" s="293" t="s">
        <v>366</v>
      </c>
      <c r="B10" s="498" t="s">
        <v>971</v>
      </c>
      <c r="C10" s="498"/>
      <c r="D10" s="498"/>
      <c r="E10" s="294" t="s">
        <v>972</v>
      </c>
      <c r="F10" s="294" t="s">
        <v>973</v>
      </c>
      <c r="G10" s="294" t="s">
        <v>973</v>
      </c>
      <c r="H10" s="294" t="s">
        <v>973</v>
      </c>
      <c r="I10" s="294" t="s">
        <v>973</v>
      </c>
      <c r="J10" s="294" t="s">
        <v>973</v>
      </c>
      <c r="K10" s="294" t="s">
        <v>973</v>
      </c>
      <c r="L10" s="294" t="s">
        <v>973</v>
      </c>
      <c r="M10" s="294" t="s">
        <v>973</v>
      </c>
      <c r="N10" s="294" t="s">
        <v>973</v>
      </c>
      <c r="O10" s="294" t="s">
        <v>973</v>
      </c>
      <c r="P10" s="294" t="s">
        <v>973</v>
      </c>
      <c r="Q10" s="294">
        <f t="shared" si="1"/>
        <v>0</v>
      </c>
    </row>
    <row r="11" spans="1:17" ht="12.75">
      <c r="A11" s="293" t="s">
        <v>974</v>
      </c>
      <c r="B11" s="498" t="s">
        <v>975</v>
      </c>
      <c r="C11" s="498"/>
      <c r="D11" s="498"/>
      <c r="E11" s="295">
        <f>(44940*0.073)+333</f>
        <v>3613.62</v>
      </c>
      <c r="F11" s="295">
        <f>(44940*0.107)+333</f>
        <v>5141.58</v>
      </c>
      <c r="G11" s="295">
        <f>(44940*0.069)+333</f>
        <v>3433.86</v>
      </c>
      <c r="H11" s="295">
        <f>(44940*0.079)+333</f>
        <v>3883.26</v>
      </c>
      <c r="I11" s="295">
        <f>(44940*0.046)+333</f>
        <v>2400.24</v>
      </c>
      <c r="J11" s="295">
        <f>(44940*0.079)+333</f>
        <v>3883.26</v>
      </c>
      <c r="K11" s="295">
        <f>(44940*0.079)+333</f>
        <v>3883.26</v>
      </c>
      <c r="L11" s="295">
        <f>(44940*0.09)+333</f>
        <v>4377.6</v>
      </c>
      <c r="M11" s="295">
        <f>(44940*0.069)+333</f>
        <v>3433.86</v>
      </c>
      <c r="N11" s="295">
        <f>(44940*0.079)+333</f>
        <v>3883.26</v>
      </c>
      <c r="O11" s="295">
        <f>(44940*0.079)+333</f>
        <v>3883.26</v>
      </c>
      <c r="P11" s="295">
        <f>(44940*0.062)+333+4</f>
        <v>3123.28</v>
      </c>
      <c r="Q11" s="295">
        <f>SUM(E11:P11)</f>
        <v>44940.340000000004</v>
      </c>
    </row>
    <row r="12" spans="1:17" ht="12.75">
      <c r="A12" s="293" t="s">
        <v>367</v>
      </c>
      <c r="B12" s="498" t="s">
        <v>976</v>
      </c>
      <c r="C12" s="498"/>
      <c r="D12" s="498"/>
      <c r="E12" s="294">
        <f>265+290</f>
        <v>555</v>
      </c>
      <c r="F12" s="294">
        <f>265+290+3</f>
        <v>558</v>
      </c>
      <c r="G12" s="294">
        <f>265+290+3</f>
        <v>558</v>
      </c>
      <c r="H12" s="294">
        <f>265+290+3</f>
        <v>558</v>
      </c>
      <c r="I12" s="294">
        <f>265+290+2</f>
        <v>557</v>
      </c>
      <c r="J12" s="294">
        <f>265+290+193+1</f>
        <v>749</v>
      </c>
      <c r="K12" s="294">
        <v>290</v>
      </c>
      <c r="L12" s="294">
        <v>290</v>
      </c>
      <c r="M12" s="294">
        <v>290</v>
      </c>
      <c r="N12" s="294">
        <v>290</v>
      </c>
      <c r="O12" s="294">
        <v>290</v>
      </c>
      <c r="P12" s="294">
        <v>290</v>
      </c>
      <c r="Q12" s="294">
        <f t="shared" si="1"/>
        <v>5275</v>
      </c>
    </row>
    <row r="13" spans="1:17" ht="12.75">
      <c r="A13" s="293" t="s">
        <v>368</v>
      </c>
      <c r="B13" s="498" t="s">
        <v>269</v>
      </c>
      <c r="C13" s="498"/>
      <c r="D13" s="498"/>
      <c r="E13" s="294" t="s">
        <v>972</v>
      </c>
      <c r="F13" s="294" t="s">
        <v>972</v>
      </c>
      <c r="G13" s="294" t="s">
        <v>972</v>
      </c>
      <c r="H13" s="294" t="s">
        <v>972</v>
      </c>
      <c r="I13" s="294" t="s">
        <v>972</v>
      </c>
      <c r="J13" s="294" t="s">
        <v>972</v>
      </c>
      <c r="K13" s="294" t="s">
        <v>972</v>
      </c>
      <c r="L13" s="294" t="s">
        <v>972</v>
      </c>
      <c r="M13" s="294" t="s">
        <v>972</v>
      </c>
      <c r="N13" s="294" t="s">
        <v>972</v>
      </c>
      <c r="O13" s="294" t="s">
        <v>972</v>
      </c>
      <c r="P13" s="294" t="s">
        <v>972</v>
      </c>
      <c r="Q13" s="294">
        <v>0</v>
      </c>
    </row>
    <row r="14" spans="1:17" ht="12.75">
      <c r="A14" s="499" t="s">
        <v>977</v>
      </c>
      <c r="B14" s="499"/>
      <c r="C14" s="499"/>
      <c r="D14" s="499"/>
      <c r="E14" s="299">
        <f>SUM(E5,E6,E10,E11,E12,E13)</f>
        <v>6973.481</v>
      </c>
      <c r="F14" s="299">
        <f aca="true" t="shared" si="2" ref="F14:Q14">SUM(F5,F6,F10,F11,F12,F13)</f>
        <v>9441.979</v>
      </c>
      <c r="G14" s="299">
        <f t="shared" si="2"/>
        <v>8265.893</v>
      </c>
      <c r="H14" s="299">
        <f t="shared" si="2"/>
        <v>7371.863</v>
      </c>
      <c r="I14" s="299">
        <f t="shared" si="2"/>
        <v>4977.262</v>
      </c>
      <c r="J14" s="299">
        <f t="shared" si="2"/>
        <v>7421.863</v>
      </c>
      <c r="K14" s="299">
        <f t="shared" si="2"/>
        <v>6932.863</v>
      </c>
      <c r="L14" s="299">
        <f t="shared" si="2"/>
        <v>7736.7300000000005</v>
      </c>
      <c r="M14" s="299">
        <f t="shared" si="2"/>
        <v>7928.893</v>
      </c>
      <c r="N14" s="299">
        <f t="shared" si="2"/>
        <v>7090.863</v>
      </c>
      <c r="O14" s="299">
        <f t="shared" si="2"/>
        <v>7111.863</v>
      </c>
      <c r="P14" s="299">
        <f t="shared" si="2"/>
        <v>5790.614</v>
      </c>
      <c r="Q14" s="299">
        <f t="shared" si="2"/>
        <v>87044.167</v>
      </c>
    </row>
    <row r="15" spans="1:17" ht="12.75">
      <c r="A15" s="293" t="s">
        <v>1050</v>
      </c>
      <c r="B15" s="498" t="s">
        <v>978</v>
      </c>
      <c r="C15" s="498"/>
      <c r="D15" s="498"/>
      <c r="E15" s="297">
        <f aca="true" t="shared" si="3" ref="E15:Q15">E35-E14</f>
        <v>3191.5190000000002</v>
      </c>
      <c r="F15" s="297">
        <f t="shared" si="3"/>
        <v>147.02100000000064</v>
      </c>
      <c r="G15" s="297">
        <f t="shared" si="3"/>
        <v>2153.107</v>
      </c>
      <c r="H15" s="297">
        <f t="shared" si="3"/>
        <v>2560.1369999999997</v>
      </c>
      <c r="I15" s="297">
        <f t="shared" si="3"/>
        <v>5187.738</v>
      </c>
      <c r="J15" s="297">
        <f t="shared" si="3"/>
        <v>3720.1369999999997</v>
      </c>
      <c r="K15" s="297">
        <f t="shared" si="3"/>
        <v>2829.1369999999997</v>
      </c>
      <c r="L15" s="297">
        <f t="shared" si="3"/>
        <v>1479.2699999999995</v>
      </c>
      <c r="M15" s="297">
        <f t="shared" si="3"/>
        <v>2300.107</v>
      </c>
      <c r="N15" s="297">
        <f t="shared" si="3"/>
        <v>2674.1369999999997</v>
      </c>
      <c r="O15" s="297">
        <f t="shared" si="3"/>
        <v>2329.1369999999997</v>
      </c>
      <c r="P15" s="297">
        <f t="shared" si="3"/>
        <v>5637.386</v>
      </c>
      <c r="Q15" s="297">
        <f t="shared" si="3"/>
        <v>34208.833</v>
      </c>
    </row>
    <row r="16" spans="1:17" ht="12.75">
      <c r="A16" s="504" t="s">
        <v>979</v>
      </c>
      <c r="B16" s="504"/>
      <c r="C16" s="504"/>
      <c r="D16" s="504"/>
      <c r="E16" s="300">
        <f>E14+E15</f>
        <v>10165</v>
      </c>
      <c r="F16" s="300">
        <f aca="true" t="shared" si="4" ref="F16:P16">F14+F15</f>
        <v>9589</v>
      </c>
      <c r="G16" s="300">
        <f t="shared" si="4"/>
        <v>10419</v>
      </c>
      <c r="H16" s="300">
        <f t="shared" si="4"/>
        <v>9932</v>
      </c>
      <c r="I16" s="300">
        <f t="shared" si="4"/>
        <v>10165</v>
      </c>
      <c r="J16" s="300">
        <f t="shared" si="4"/>
        <v>11142</v>
      </c>
      <c r="K16" s="300">
        <f t="shared" si="4"/>
        <v>9762</v>
      </c>
      <c r="L16" s="300">
        <f t="shared" si="4"/>
        <v>9216</v>
      </c>
      <c r="M16" s="300">
        <f t="shared" si="4"/>
        <v>10229</v>
      </c>
      <c r="N16" s="300">
        <f t="shared" si="4"/>
        <v>9765</v>
      </c>
      <c r="O16" s="300">
        <f t="shared" si="4"/>
        <v>9441</v>
      </c>
      <c r="P16" s="300">
        <f t="shared" si="4"/>
        <v>11428</v>
      </c>
      <c r="Q16" s="300">
        <f>Q14+Q15</f>
        <v>121253</v>
      </c>
    </row>
    <row r="17" spans="1:17" ht="12.75">
      <c r="A17" s="505" t="s">
        <v>1085</v>
      </c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7"/>
    </row>
    <row r="18" spans="1:17" ht="12.75">
      <c r="A18" s="505"/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7"/>
    </row>
    <row r="19" spans="1:17" ht="12.75">
      <c r="A19" s="293" t="s">
        <v>1265</v>
      </c>
      <c r="B19" s="498" t="s">
        <v>797</v>
      </c>
      <c r="C19" s="498"/>
      <c r="D19" s="498"/>
      <c r="E19" s="302">
        <f>SUM(E20:E22)</f>
        <v>2329</v>
      </c>
      <c r="F19" s="302">
        <f aca="true" t="shared" si="5" ref="F19:P19">SUM(F20:F22)</f>
        <v>2028</v>
      </c>
      <c r="G19" s="302">
        <f t="shared" si="5"/>
        <v>2069</v>
      </c>
      <c r="H19" s="302">
        <f t="shared" si="5"/>
        <v>2176</v>
      </c>
      <c r="I19" s="302">
        <f t="shared" si="5"/>
        <v>2192</v>
      </c>
      <c r="J19" s="302">
        <f t="shared" si="5"/>
        <v>2231</v>
      </c>
      <c r="K19" s="302">
        <f t="shared" si="5"/>
        <v>1828</v>
      </c>
      <c r="L19" s="302">
        <f t="shared" si="5"/>
        <v>1835</v>
      </c>
      <c r="M19" s="302">
        <f t="shared" si="5"/>
        <v>1789</v>
      </c>
      <c r="N19" s="302">
        <f t="shared" si="5"/>
        <v>1797</v>
      </c>
      <c r="O19" s="302">
        <f t="shared" si="5"/>
        <v>1730</v>
      </c>
      <c r="P19" s="302">
        <f t="shared" si="5"/>
        <v>2215</v>
      </c>
      <c r="Q19" s="302">
        <f>SUM(E19:P19)</f>
        <v>24219</v>
      </c>
    </row>
    <row r="20" spans="1:17" ht="12.75">
      <c r="A20" s="296"/>
      <c r="B20" s="500" t="s">
        <v>980</v>
      </c>
      <c r="C20" s="500"/>
      <c r="D20" s="500"/>
      <c r="E20" s="303">
        <f>337+48+1600</f>
        <v>1985</v>
      </c>
      <c r="F20" s="303">
        <f>337+48+1299</f>
        <v>1684</v>
      </c>
      <c r="G20" s="303">
        <f>337+48+1299</f>
        <v>1684</v>
      </c>
      <c r="H20" s="303">
        <f>337+48+1299</f>
        <v>1684</v>
      </c>
      <c r="I20" s="303">
        <f>337+49+1299</f>
        <v>1685</v>
      </c>
      <c r="J20" s="303">
        <f>337+49+1299</f>
        <v>1685</v>
      </c>
      <c r="K20" s="303">
        <f>1299+56</f>
        <v>1355</v>
      </c>
      <c r="L20" s="303">
        <f>1299+53</f>
        <v>1352</v>
      </c>
      <c r="M20" s="303">
        <f>1299+36</f>
        <v>1335</v>
      </c>
      <c r="N20" s="303">
        <f>1299+65</f>
        <v>1364</v>
      </c>
      <c r="O20" s="303">
        <f>1299+35</f>
        <v>1334</v>
      </c>
      <c r="P20" s="303">
        <f>1299+50</f>
        <v>1349</v>
      </c>
      <c r="Q20" s="303">
        <f>SUM(E20:P20)</f>
        <v>18496</v>
      </c>
    </row>
    <row r="21" spans="1:17" ht="12.75">
      <c r="A21" s="296"/>
      <c r="B21" s="500" t="s">
        <v>981</v>
      </c>
      <c r="C21" s="500"/>
      <c r="D21" s="500"/>
      <c r="E21" s="303">
        <f>12+223</f>
        <v>235</v>
      </c>
      <c r="F21" s="303">
        <f>12+223</f>
        <v>235</v>
      </c>
      <c r="G21" s="303">
        <f>12+223</f>
        <v>235</v>
      </c>
      <c r="H21" s="303">
        <f>48+223</f>
        <v>271</v>
      </c>
      <c r="I21" s="303">
        <f>12+223</f>
        <v>235</v>
      </c>
      <c r="J21" s="303">
        <f>39+12+223</f>
        <v>274</v>
      </c>
      <c r="K21" s="303">
        <v>223</v>
      </c>
      <c r="L21" s="303">
        <v>223</v>
      </c>
      <c r="M21" s="303">
        <v>223</v>
      </c>
      <c r="N21" s="303">
        <v>223</v>
      </c>
      <c r="O21" s="303">
        <v>223</v>
      </c>
      <c r="P21" s="303">
        <f>545+223-31</f>
        <v>737</v>
      </c>
      <c r="Q21" s="303">
        <f t="shared" si="1"/>
        <v>3337</v>
      </c>
    </row>
    <row r="22" spans="1:17" ht="12.75">
      <c r="A22" s="296"/>
      <c r="B22" s="500" t="s">
        <v>982</v>
      </c>
      <c r="C22" s="500"/>
      <c r="D22" s="500"/>
      <c r="E22" s="303">
        <v>109</v>
      </c>
      <c r="F22" s="303">
        <v>109</v>
      </c>
      <c r="G22" s="303">
        <v>150</v>
      </c>
      <c r="H22" s="303">
        <v>221</v>
      </c>
      <c r="I22" s="303">
        <v>272</v>
      </c>
      <c r="J22" s="303">
        <v>272</v>
      </c>
      <c r="K22" s="303">
        <v>250</v>
      </c>
      <c r="L22" s="303">
        <v>260</v>
      </c>
      <c r="M22" s="303">
        <v>231</v>
      </c>
      <c r="N22" s="303">
        <v>210</v>
      </c>
      <c r="O22" s="303">
        <v>173</v>
      </c>
      <c r="P22" s="303">
        <v>129</v>
      </c>
      <c r="Q22" s="303">
        <f t="shared" si="1"/>
        <v>2386</v>
      </c>
    </row>
    <row r="23" spans="1:17" ht="12.75">
      <c r="A23" s="293" t="s">
        <v>364</v>
      </c>
      <c r="B23" s="498" t="s">
        <v>983</v>
      </c>
      <c r="C23" s="498"/>
      <c r="D23" s="498"/>
      <c r="E23" s="302">
        <f>112+650</f>
        <v>762</v>
      </c>
      <c r="F23" s="302">
        <f>112+560</f>
        <v>672</v>
      </c>
      <c r="G23" s="302">
        <f>112+560</f>
        <v>672</v>
      </c>
      <c r="H23" s="302">
        <f>112+560</f>
        <v>672</v>
      </c>
      <c r="I23" s="302">
        <f>112+560</f>
        <v>672</v>
      </c>
      <c r="J23" s="302">
        <f>112+560</f>
        <v>672</v>
      </c>
      <c r="K23" s="302">
        <v>545</v>
      </c>
      <c r="L23" s="302">
        <v>550</v>
      </c>
      <c r="M23" s="302">
        <v>525</v>
      </c>
      <c r="N23" s="302">
        <v>530</v>
      </c>
      <c r="O23" s="302">
        <v>512</v>
      </c>
      <c r="P23" s="302">
        <v>613</v>
      </c>
      <c r="Q23" s="302">
        <f t="shared" si="1"/>
        <v>7397</v>
      </c>
    </row>
    <row r="24" spans="1:17" ht="12.75">
      <c r="A24" s="293" t="s">
        <v>366</v>
      </c>
      <c r="B24" s="498" t="s">
        <v>1278</v>
      </c>
      <c r="C24" s="498"/>
      <c r="D24" s="498"/>
      <c r="E24" s="302">
        <v>1770</v>
      </c>
      <c r="F24" s="302">
        <v>1680</v>
      </c>
      <c r="G24" s="302">
        <v>1735</v>
      </c>
      <c r="H24" s="302">
        <v>1653</v>
      </c>
      <c r="I24" s="302">
        <v>1890</v>
      </c>
      <c r="J24" s="302">
        <v>1458</v>
      </c>
      <c r="K24" s="302">
        <v>1456</v>
      </c>
      <c r="L24" s="302">
        <v>1458</v>
      </c>
      <c r="M24" s="302">
        <f>1928-200</f>
        <v>1728</v>
      </c>
      <c r="N24" s="302">
        <f>2354-300</f>
        <v>2054</v>
      </c>
      <c r="O24" s="302">
        <f>1653+66</f>
        <v>1719</v>
      </c>
      <c r="P24" s="302">
        <f>2146-100</f>
        <v>2046</v>
      </c>
      <c r="Q24" s="302">
        <f t="shared" si="1"/>
        <v>20647</v>
      </c>
    </row>
    <row r="25" spans="1:17" ht="12.75">
      <c r="A25" s="293" t="s">
        <v>974</v>
      </c>
      <c r="B25" s="498" t="s">
        <v>305</v>
      </c>
      <c r="C25" s="498"/>
      <c r="D25" s="498"/>
      <c r="E25" s="302">
        <v>211</v>
      </c>
      <c r="F25" s="302">
        <v>211</v>
      </c>
      <c r="G25" s="302">
        <v>211</v>
      </c>
      <c r="H25" s="302">
        <v>211</v>
      </c>
      <c r="I25" s="302">
        <v>211</v>
      </c>
      <c r="J25" s="302">
        <v>212</v>
      </c>
      <c r="K25" s="302">
        <v>211</v>
      </c>
      <c r="L25" s="302">
        <v>211</v>
      </c>
      <c r="M25" s="302">
        <v>211</v>
      </c>
      <c r="N25" s="302">
        <v>211</v>
      </c>
      <c r="O25" s="302">
        <v>212</v>
      </c>
      <c r="P25" s="302">
        <v>212</v>
      </c>
      <c r="Q25" s="302">
        <f t="shared" si="1"/>
        <v>2535</v>
      </c>
    </row>
    <row r="26" spans="1:17" ht="12.75">
      <c r="A26" s="293" t="s">
        <v>367</v>
      </c>
      <c r="B26" s="498" t="s">
        <v>984</v>
      </c>
      <c r="C26" s="498"/>
      <c r="D26" s="498"/>
      <c r="E26" s="302">
        <f aca="true" t="shared" si="6" ref="E26:P26">SUM(E27:E29)</f>
        <v>4426</v>
      </c>
      <c r="F26" s="302">
        <f t="shared" si="6"/>
        <v>4331</v>
      </c>
      <c r="G26" s="302">
        <f t="shared" si="6"/>
        <v>4483</v>
      </c>
      <c r="H26" s="302">
        <f t="shared" si="6"/>
        <v>4553</v>
      </c>
      <c r="I26" s="302">
        <f t="shared" si="6"/>
        <v>4533</v>
      </c>
      <c r="J26" s="302">
        <f t="shared" si="6"/>
        <v>5320</v>
      </c>
      <c r="K26" s="302">
        <f t="shared" si="6"/>
        <v>4455</v>
      </c>
      <c r="L26" s="302">
        <f t="shared" si="6"/>
        <v>4495</v>
      </c>
      <c r="M26" s="302">
        <f t="shared" si="6"/>
        <v>4726</v>
      </c>
      <c r="N26" s="302">
        <f t="shared" si="6"/>
        <v>4506</v>
      </c>
      <c r="O26" s="302">
        <f t="shared" si="6"/>
        <v>4601</v>
      </c>
      <c r="P26" s="302">
        <f t="shared" si="6"/>
        <v>4592</v>
      </c>
      <c r="Q26" s="302">
        <f>SUM(E26:P26)</f>
        <v>55021</v>
      </c>
    </row>
    <row r="27" spans="1:17" ht="12.75">
      <c r="A27" s="296"/>
      <c r="B27" s="500" t="s">
        <v>985</v>
      </c>
      <c r="C27" s="500"/>
      <c r="D27" s="500"/>
      <c r="E27" s="303">
        <v>2691</v>
      </c>
      <c r="F27" s="303">
        <v>2691</v>
      </c>
      <c r="G27" s="303">
        <f>2691+150</f>
        <v>2841</v>
      </c>
      <c r="H27" s="303">
        <v>2691</v>
      </c>
      <c r="I27" s="303">
        <v>2691</v>
      </c>
      <c r="J27" s="303">
        <v>2691</v>
      </c>
      <c r="K27" s="303">
        <v>2691</v>
      </c>
      <c r="L27" s="303">
        <v>2691</v>
      </c>
      <c r="M27" s="303">
        <v>2691</v>
      </c>
      <c r="N27" s="303">
        <f>2691+50</f>
        <v>2741</v>
      </c>
      <c r="O27" s="303">
        <v>2691</v>
      </c>
      <c r="P27" s="303">
        <f>2691+6</f>
        <v>2697</v>
      </c>
      <c r="Q27" s="303">
        <f t="shared" si="1"/>
        <v>32498</v>
      </c>
    </row>
    <row r="28" spans="1:17" ht="12.75">
      <c r="A28" s="296"/>
      <c r="B28" s="500" t="s">
        <v>986</v>
      </c>
      <c r="C28" s="500"/>
      <c r="D28" s="500"/>
      <c r="E28" s="303">
        <v>0</v>
      </c>
      <c r="F28" s="303">
        <v>0</v>
      </c>
      <c r="G28" s="303">
        <v>0</v>
      </c>
      <c r="H28" s="303">
        <v>0</v>
      </c>
      <c r="I28" s="303">
        <v>200</v>
      </c>
      <c r="J28" s="303">
        <v>594</v>
      </c>
      <c r="K28" s="303">
        <v>200</v>
      </c>
      <c r="L28" s="303">
        <v>100</v>
      </c>
      <c r="M28" s="303">
        <v>0</v>
      </c>
      <c r="N28" s="303">
        <v>0</v>
      </c>
      <c r="O28" s="303">
        <v>0</v>
      </c>
      <c r="P28" s="303">
        <v>0</v>
      </c>
      <c r="Q28" s="303">
        <f t="shared" si="1"/>
        <v>1094</v>
      </c>
    </row>
    <row r="29" spans="1:17" ht="12.75">
      <c r="A29" s="296"/>
      <c r="B29" s="500" t="s">
        <v>987</v>
      </c>
      <c r="C29" s="500"/>
      <c r="D29" s="500"/>
      <c r="E29" s="303">
        <v>1735</v>
      </c>
      <c r="F29" s="303">
        <v>1640</v>
      </c>
      <c r="G29" s="303">
        <v>1642</v>
      </c>
      <c r="H29" s="303">
        <v>1862</v>
      </c>
      <c r="I29" s="303">
        <v>1642</v>
      </c>
      <c r="J29" s="303">
        <v>2035</v>
      </c>
      <c r="K29" s="303">
        <v>1564</v>
      </c>
      <c r="L29" s="303">
        <f>1652+52</f>
        <v>1704</v>
      </c>
      <c r="M29" s="303">
        <v>2035</v>
      </c>
      <c r="N29" s="303">
        <v>1765</v>
      </c>
      <c r="O29" s="303">
        <v>1910</v>
      </c>
      <c r="P29" s="303">
        <v>1895</v>
      </c>
      <c r="Q29" s="303">
        <f t="shared" si="1"/>
        <v>21429</v>
      </c>
    </row>
    <row r="30" spans="1:17" ht="12.75">
      <c r="A30" s="296" t="s">
        <v>368</v>
      </c>
      <c r="B30" s="498" t="s">
        <v>988</v>
      </c>
      <c r="C30" s="498"/>
      <c r="D30" s="498"/>
      <c r="E30" s="303" t="s">
        <v>973</v>
      </c>
      <c r="F30" s="303" t="s">
        <v>973</v>
      </c>
      <c r="G30" s="303" t="s">
        <v>973</v>
      </c>
      <c r="H30" s="303" t="s">
        <v>973</v>
      </c>
      <c r="I30" s="303" t="s">
        <v>973</v>
      </c>
      <c r="J30" s="303" t="s">
        <v>973</v>
      </c>
      <c r="K30" s="303" t="s">
        <v>973</v>
      </c>
      <c r="L30" s="303" t="s">
        <v>973</v>
      </c>
      <c r="M30" s="303" t="s">
        <v>973</v>
      </c>
      <c r="N30" s="303" t="s">
        <v>973</v>
      </c>
      <c r="O30" s="303" t="s">
        <v>973</v>
      </c>
      <c r="P30" s="303" t="s">
        <v>973</v>
      </c>
      <c r="Q30" s="303">
        <v>0</v>
      </c>
    </row>
    <row r="31" spans="1:17" ht="12.75">
      <c r="A31" s="296" t="s">
        <v>1050</v>
      </c>
      <c r="B31" s="498" t="s">
        <v>989</v>
      </c>
      <c r="C31" s="498"/>
      <c r="D31" s="498"/>
      <c r="E31" s="303" t="s">
        <v>973</v>
      </c>
      <c r="F31" s="303" t="s">
        <v>973</v>
      </c>
      <c r="G31" s="303" t="s">
        <v>973</v>
      </c>
      <c r="H31" s="303" t="s">
        <v>973</v>
      </c>
      <c r="I31" s="303" t="s">
        <v>973</v>
      </c>
      <c r="J31" s="303" t="s">
        <v>973</v>
      </c>
      <c r="K31" s="303" t="s">
        <v>973</v>
      </c>
      <c r="L31" s="303" t="s">
        <v>973</v>
      </c>
      <c r="M31" s="303" t="s">
        <v>973</v>
      </c>
      <c r="N31" s="303" t="s">
        <v>973</v>
      </c>
      <c r="O31" s="303" t="s">
        <v>973</v>
      </c>
      <c r="P31" s="303" t="s">
        <v>973</v>
      </c>
      <c r="Q31" s="303">
        <f t="shared" si="1"/>
        <v>0</v>
      </c>
    </row>
    <row r="32" spans="1:17" ht="12.75">
      <c r="A32" s="296"/>
      <c r="B32" s="501" t="s">
        <v>50</v>
      </c>
      <c r="C32" s="502"/>
      <c r="D32" s="5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>
        <v>500</v>
      </c>
      <c r="Q32" s="303">
        <f t="shared" si="1"/>
        <v>500</v>
      </c>
    </row>
    <row r="33" spans="1:17" ht="12.75">
      <c r="A33" s="296" t="s">
        <v>1052</v>
      </c>
      <c r="B33" s="498" t="s">
        <v>990</v>
      </c>
      <c r="C33" s="498"/>
      <c r="D33" s="498"/>
      <c r="E33" s="303" t="s">
        <v>973</v>
      </c>
      <c r="F33" s="303" t="s">
        <v>973</v>
      </c>
      <c r="G33" s="303" t="s">
        <v>973</v>
      </c>
      <c r="H33" s="303" t="s">
        <v>973</v>
      </c>
      <c r="I33" s="303" t="s">
        <v>973</v>
      </c>
      <c r="J33" s="303" t="s">
        <v>973</v>
      </c>
      <c r="K33" s="303">
        <v>600</v>
      </c>
      <c r="L33" s="303" t="s">
        <v>973</v>
      </c>
      <c r="M33" s="303" t="s">
        <v>973</v>
      </c>
      <c r="N33" s="303" t="s">
        <v>973</v>
      </c>
      <c r="O33" s="303" t="s">
        <v>973</v>
      </c>
      <c r="P33" s="303" t="s">
        <v>973</v>
      </c>
      <c r="Q33" s="303">
        <f t="shared" si="1"/>
        <v>600</v>
      </c>
    </row>
    <row r="34" spans="1:17" ht="12.75">
      <c r="A34" s="296" t="s">
        <v>1054</v>
      </c>
      <c r="B34" s="498" t="s">
        <v>1266</v>
      </c>
      <c r="C34" s="498"/>
      <c r="D34" s="498"/>
      <c r="E34" s="302">
        <v>667</v>
      </c>
      <c r="F34" s="302">
        <v>667</v>
      </c>
      <c r="G34" s="302">
        <f>583+666</f>
        <v>1249</v>
      </c>
      <c r="H34" s="302">
        <v>667</v>
      </c>
      <c r="I34" s="302">
        <v>667</v>
      </c>
      <c r="J34" s="302">
        <f>583+666</f>
        <v>1249</v>
      </c>
      <c r="K34" s="302">
        <v>667</v>
      </c>
      <c r="L34" s="302">
        <v>667</v>
      </c>
      <c r="M34" s="302">
        <f>583+667</f>
        <v>1250</v>
      </c>
      <c r="N34" s="302">
        <v>667</v>
      </c>
      <c r="O34" s="302">
        <v>667</v>
      </c>
      <c r="P34" s="302">
        <f>583+667</f>
        <v>1250</v>
      </c>
      <c r="Q34" s="302">
        <f t="shared" si="1"/>
        <v>10334</v>
      </c>
    </row>
    <row r="35" spans="1:17" ht="12.75">
      <c r="A35" s="499" t="s">
        <v>991</v>
      </c>
      <c r="B35" s="499"/>
      <c r="C35" s="499"/>
      <c r="D35" s="499"/>
      <c r="E35" s="301">
        <f>SUM(E19,E23,E24,E25,E26,E30,E31,E33,E34)</f>
        <v>10165</v>
      </c>
      <c r="F35" s="301">
        <f aca="true" t="shared" si="7" ref="F35:O35">SUM(F19,F23,F24,F25,F26,F30,F31,F33,F34)</f>
        <v>9589</v>
      </c>
      <c r="G35" s="301">
        <f t="shared" si="7"/>
        <v>10419</v>
      </c>
      <c r="H35" s="301">
        <f t="shared" si="7"/>
        <v>9932</v>
      </c>
      <c r="I35" s="301">
        <f>SUM(I19,I23,I24,I25,I26,I30,I31,I33,I34)</f>
        <v>10165</v>
      </c>
      <c r="J35" s="301">
        <f t="shared" si="7"/>
        <v>11142</v>
      </c>
      <c r="K35" s="301">
        <f>SUM(K19,K23,K24,K25,K26,K30,K31,K33,K34)</f>
        <v>9762</v>
      </c>
      <c r="L35" s="301">
        <f t="shared" si="7"/>
        <v>9216</v>
      </c>
      <c r="M35" s="301">
        <f t="shared" si="7"/>
        <v>10229</v>
      </c>
      <c r="N35" s="301">
        <f t="shared" si="7"/>
        <v>9765</v>
      </c>
      <c r="O35" s="301">
        <f t="shared" si="7"/>
        <v>9441</v>
      </c>
      <c r="P35" s="301">
        <f>SUM(P19,P23,P24,P25,P26,P30,P31,P33,P34,P32)</f>
        <v>11428</v>
      </c>
      <c r="Q35" s="301">
        <f>SUM(Q19,Q23:Q26,Q30:Q34)</f>
        <v>121253</v>
      </c>
    </row>
  </sheetData>
  <mergeCells count="32">
    <mergeCell ref="B2:D2"/>
    <mergeCell ref="A3:Q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A14:D14"/>
    <mergeCell ref="B15:D15"/>
    <mergeCell ref="A16:D16"/>
    <mergeCell ref="A17:Q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3:D33"/>
    <mergeCell ref="B34:D34"/>
    <mergeCell ref="A35:D35"/>
    <mergeCell ref="B28:D28"/>
    <mergeCell ref="B29:D29"/>
    <mergeCell ref="B30:D30"/>
    <mergeCell ref="B31:D31"/>
    <mergeCell ref="B32:D32"/>
  </mergeCells>
  <printOptions/>
  <pageMargins left="0.25" right="0.25" top="1" bottom="1" header="0.5" footer="0.5"/>
  <pageSetup horizontalDpi="600" verticalDpi="600" orientation="landscape" paperSize="9" r:id="rId1"/>
  <headerFooter alignWithMargins="0">
    <oddHeader>&amp;Ladatok ezer forintban&amp;CTiszagyulaháza 2008. évi előirányzatfelhasználási terve&amp;R10. számú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D16" sqref="D16"/>
    </sheetView>
  </sheetViews>
  <sheetFormatPr defaultColWidth="9.00390625" defaultRowHeight="12.75"/>
  <cols>
    <col min="2" max="2" width="26.75390625" style="0" customWidth="1"/>
    <col min="3" max="3" width="19.125" style="0" customWidth="1"/>
    <col min="4" max="4" width="27.75390625" style="0" customWidth="1"/>
    <col min="5" max="5" width="15.375" style="0" customWidth="1"/>
  </cols>
  <sheetData>
    <row r="2" spans="1:5" ht="12.75">
      <c r="A2" s="512" t="s">
        <v>255</v>
      </c>
      <c r="B2" s="512" t="s">
        <v>256</v>
      </c>
      <c r="C2" s="512" t="s">
        <v>257</v>
      </c>
      <c r="D2" s="512" t="s">
        <v>258</v>
      </c>
      <c r="E2" s="512" t="s">
        <v>259</v>
      </c>
    </row>
    <row r="3" spans="1:5" ht="12.75">
      <c r="A3" s="512"/>
      <c r="B3" s="512"/>
      <c r="C3" s="512"/>
      <c r="D3" s="512"/>
      <c r="E3" s="512"/>
    </row>
    <row r="4" spans="1:5" ht="12.75">
      <c r="A4" s="296" t="s">
        <v>1265</v>
      </c>
      <c r="B4" s="296" t="s">
        <v>260</v>
      </c>
      <c r="C4" s="296">
        <v>2469</v>
      </c>
      <c r="D4" s="296">
        <v>2042</v>
      </c>
      <c r="E4" s="296">
        <v>427</v>
      </c>
    </row>
    <row r="5" spans="1:5" ht="12.75">
      <c r="A5" s="296" t="s">
        <v>364</v>
      </c>
      <c r="B5" s="296"/>
      <c r="C5" s="296"/>
      <c r="D5" s="296"/>
      <c r="E5" s="296"/>
    </row>
    <row r="6" spans="1:5" ht="12.75">
      <c r="A6" s="296" t="s">
        <v>366</v>
      </c>
      <c r="B6" s="296"/>
      <c r="C6" s="296"/>
      <c r="D6" s="296"/>
      <c r="E6" s="296"/>
    </row>
    <row r="7" spans="1:5" ht="12.75">
      <c r="A7" s="296" t="s">
        <v>974</v>
      </c>
      <c r="B7" s="296"/>
      <c r="C7" s="296"/>
      <c r="D7" s="296"/>
      <c r="E7" s="296"/>
    </row>
    <row r="8" spans="1:5" ht="12.75">
      <c r="A8" s="296" t="s">
        <v>367</v>
      </c>
      <c r="B8" s="296"/>
      <c r="C8" s="296"/>
      <c r="D8" s="296"/>
      <c r="E8" s="296"/>
    </row>
    <row r="9" spans="1:5" ht="12.75">
      <c r="A9" s="296" t="s">
        <v>368</v>
      </c>
      <c r="B9" s="296"/>
      <c r="C9" s="296"/>
      <c r="D9" s="296"/>
      <c r="E9" s="296"/>
    </row>
    <row r="10" spans="1:5" ht="12.75">
      <c r="A10" s="296" t="s">
        <v>1050</v>
      </c>
      <c r="B10" s="296"/>
      <c r="C10" s="296"/>
      <c r="D10" s="296"/>
      <c r="E10" s="296"/>
    </row>
    <row r="11" spans="1:5" ht="12.75">
      <c r="A11" s="296" t="s">
        <v>1052</v>
      </c>
      <c r="B11" s="296"/>
      <c r="C11" s="296"/>
      <c r="D11" s="296"/>
      <c r="E11" s="296"/>
    </row>
    <row r="12" spans="1:5" ht="12.75">
      <c r="A12" s="296" t="s">
        <v>1054</v>
      </c>
      <c r="B12" s="296"/>
      <c r="C12" s="296"/>
      <c r="D12" s="296"/>
      <c r="E12" s="296"/>
    </row>
    <row r="13" spans="1:5" ht="12.75">
      <c r="A13" s="296" t="s">
        <v>860</v>
      </c>
      <c r="B13" s="296"/>
      <c r="C13" s="296"/>
      <c r="D13" s="296"/>
      <c r="E13" s="296"/>
    </row>
    <row r="14" spans="1:5" ht="12.75">
      <c r="A14" s="296" t="s">
        <v>863</v>
      </c>
      <c r="B14" s="296" t="s">
        <v>782</v>
      </c>
      <c r="C14" s="296">
        <v>2469</v>
      </c>
      <c r="D14" s="296">
        <v>2042</v>
      </c>
      <c r="E14" s="296">
        <v>427</v>
      </c>
    </row>
    <row r="16" ht="12.75">
      <c r="A16" t="s">
        <v>261</v>
      </c>
    </row>
    <row r="18" spans="1:5" ht="12.75" customHeight="1">
      <c r="A18" s="513" t="s">
        <v>262</v>
      </c>
      <c r="B18" s="513"/>
      <c r="C18" s="513"/>
      <c r="D18" s="513"/>
      <c r="E18" s="513"/>
    </row>
    <row r="19" spans="1:5" ht="12.75">
      <c r="A19" s="513"/>
      <c r="B19" s="513"/>
      <c r="C19" s="513"/>
      <c r="D19" s="513"/>
      <c r="E19" s="513"/>
    </row>
    <row r="20" spans="1:5" ht="12.75">
      <c r="A20" s="513"/>
      <c r="B20" s="513"/>
      <c r="C20" s="513"/>
      <c r="D20" s="513"/>
      <c r="E20" s="513"/>
    </row>
    <row r="21" ht="12.75">
      <c r="A21" t="s">
        <v>263</v>
      </c>
    </row>
  </sheetData>
  <mergeCells count="6">
    <mergeCell ref="E2:E3"/>
    <mergeCell ref="A18:E20"/>
    <mergeCell ref="B2:B3"/>
    <mergeCell ref="A2:A3"/>
    <mergeCell ref="C2:C3"/>
    <mergeCell ref="D2:D3"/>
  </mergeCells>
  <printOptions/>
  <pageMargins left="2.0078740157480315" right="0.7874015748031497" top="0.984251968503937" bottom="0.2755905511811024" header="0.5118110236220472" footer="0.2755905511811024"/>
  <pageSetup horizontalDpi="600" verticalDpi="600" orientation="landscape" paperSize="9" r:id="rId1"/>
  <headerFooter alignWithMargins="0">
    <oddHeader>&amp;LAdatok ezer Forintban&amp;CAz Önkormányzat által adott közvetett támogatások/kedvezmények kimutatása&amp;R11. számú 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0" sqref="A10"/>
    </sheetView>
  </sheetViews>
  <sheetFormatPr defaultColWidth="9.00390625" defaultRowHeight="12.75"/>
  <cols>
    <col min="1" max="1" width="46.875" style="1" bestFit="1" customWidth="1"/>
    <col min="2" max="3" width="11.625" style="11" bestFit="1" customWidth="1"/>
    <col min="4" max="4" width="9.125" style="163" customWidth="1"/>
    <col min="5" max="16384" width="9.125" style="1" customWidth="1"/>
  </cols>
  <sheetData>
    <row r="1" spans="1:4" ht="12.75">
      <c r="A1" s="324" t="s">
        <v>361</v>
      </c>
      <c r="B1" s="329" t="s">
        <v>551</v>
      </c>
      <c r="C1" s="353"/>
      <c r="D1" s="515" t="s">
        <v>552</v>
      </c>
    </row>
    <row r="2" spans="1:4" ht="12.75">
      <c r="A2" s="325"/>
      <c r="B2" s="478"/>
      <c r="C2" s="480"/>
      <c r="D2" s="516"/>
    </row>
    <row r="3" spans="1:4" ht="12.75">
      <c r="A3" s="472"/>
      <c r="B3" s="356" t="s">
        <v>553</v>
      </c>
      <c r="C3" s="353" t="s">
        <v>554</v>
      </c>
      <c r="D3" s="516"/>
    </row>
    <row r="4" spans="1:4" ht="13.5" thickBot="1">
      <c r="A4" s="514"/>
      <c r="B4" s="358"/>
      <c r="C4" s="355"/>
      <c r="D4" s="517"/>
    </row>
    <row r="5" spans="1:4" ht="13.5" thickTop="1">
      <c r="A5" s="165"/>
      <c r="B5" s="68"/>
      <c r="C5" s="66"/>
      <c r="D5" s="164"/>
    </row>
    <row r="6" spans="1:4" ht="12.75">
      <c r="A6" s="93" t="s">
        <v>549</v>
      </c>
      <c r="B6" s="68">
        <v>3410</v>
      </c>
      <c r="C6" s="66">
        <v>3600</v>
      </c>
      <c r="D6" s="164">
        <f aca="true" t="shared" si="0" ref="D6:D14">C6/B6</f>
        <v>1.0557184750733137</v>
      </c>
    </row>
    <row r="7" spans="1:4" ht="12.75">
      <c r="A7" s="93" t="s">
        <v>1483</v>
      </c>
      <c r="B7" s="68">
        <v>1384</v>
      </c>
      <c r="C7" s="66">
        <v>1096</v>
      </c>
      <c r="D7" s="164">
        <f t="shared" si="0"/>
        <v>0.791907514450867</v>
      </c>
    </row>
    <row r="8" spans="1:4" ht="12.75">
      <c r="A8" s="93" t="s">
        <v>1432</v>
      </c>
      <c r="B8" s="68">
        <v>19</v>
      </c>
      <c r="C8" s="66">
        <v>19</v>
      </c>
      <c r="D8" s="164">
        <f t="shared" si="0"/>
        <v>1</v>
      </c>
    </row>
    <row r="9" spans="1:4" ht="12.75">
      <c r="A9" s="93" t="s">
        <v>1484</v>
      </c>
      <c r="B9" s="68">
        <v>7121</v>
      </c>
      <c r="C9" s="66">
        <v>7388</v>
      </c>
      <c r="D9" s="164">
        <f t="shared" si="0"/>
        <v>1.0374947338856901</v>
      </c>
    </row>
    <row r="10" spans="1:4" ht="24">
      <c r="A10" s="162" t="s">
        <v>641</v>
      </c>
      <c r="B10" s="68">
        <v>2927</v>
      </c>
      <c r="C10" s="66">
        <v>3146</v>
      </c>
      <c r="D10" s="164">
        <f t="shared" si="0"/>
        <v>1.0748206354629313</v>
      </c>
    </row>
    <row r="11" spans="1:4" ht="12.75">
      <c r="A11" s="93" t="s">
        <v>1485</v>
      </c>
      <c r="B11" s="68">
        <v>8401</v>
      </c>
      <c r="C11" s="66">
        <v>7994</v>
      </c>
      <c r="D11" s="164">
        <f t="shared" si="0"/>
        <v>0.9515533865016069</v>
      </c>
    </row>
    <row r="12" spans="1:4" ht="12.75">
      <c r="A12" s="93" t="s">
        <v>1082</v>
      </c>
      <c r="B12" s="68">
        <v>2000</v>
      </c>
      <c r="C12" s="66">
        <v>1483</v>
      </c>
      <c r="D12" s="164">
        <f t="shared" si="0"/>
        <v>0.7415</v>
      </c>
    </row>
    <row r="13" spans="1:4" ht="12.75">
      <c r="A13" s="93" t="s">
        <v>1486</v>
      </c>
      <c r="B13" s="68">
        <v>1119</v>
      </c>
      <c r="C13" s="66">
        <v>568</v>
      </c>
      <c r="D13" s="164">
        <f t="shared" si="0"/>
        <v>0.5075960679177838</v>
      </c>
    </row>
    <row r="14" spans="1:4" ht="12.75">
      <c r="A14" s="93" t="s">
        <v>1487</v>
      </c>
      <c r="B14" s="68">
        <v>3780</v>
      </c>
      <c r="C14" s="66">
        <v>3980</v>
      </c>
      <c r="D14" s="164">
        <f t="shared" si="0"/>
        <v>1.052910052910053</v>
      </c>
    </row>
    <row r="15" spans="1:4" ht="12.75">
      <c r="A15" s="93" t="s">
        <v>1488</v>
      </c>
      <c r="B15" s="68"/>
      <c r="C15" s="66"/>
      <c r="D15" s="164"/>
    </row>
    <row r="16" spans="1:4" ht="12.75">
      <c r="A16" s="93" t="s">
        <v>1489</v>
      </c>
      <c r="B16" s="68">
        <v>7141</v>
      </c>
      <c r="C16" s="66">
        <v>7956</v>
      </c>
      <c r="D16" s="164">
        <f>C16/B16</f>
        <v>1.114129673715166</v>
      </c>
    </row>
    <row r="17" spans="1:4" ht="12.75">
      <c r="A17" s="93" t="s">
        <v>1490</v>
      </c>
      <c r="B17" s="68">
        <v>9696</v>
      </c>
      <c r="C17" s="66">
        <v>6784</v>
      </c>
      <c r="D17" s="164">
        <f>C17/B17</f>
        <v>0.6996699669966997</v>
      </c>
    </row>
    <row r="18" spans="1:4" ht="12.75">
      <c r="A18" s="93" t="s">
        <v>1493</v>
      </c>
      <c r="B18" s="68">
        <v>440</v>
      </c>
      <c r="C18" s="66">
        <v>345</v>
      </c>
      <c r="D18" s="164">
        <f>C18/B18</f>
        <v>0.7840909090909091</v>
      </c>
    </row>
    <row r="19" spans="1:4" ht="12.75">
      <c r="A19" s="93" t="s">
        <v>1494</v>
      </c>
      <c r="B19" s="68">
        <v>26</v>
      </c>
      <c r="C19" s="66">
        <v>71</v>
      </c>
      <c r="D19" s="164">
        <f>C19/B19</f>
        <v>2.730769230769231</v>
      </c>
    </row>
    <row r="20" spans="1:4" ht="12.75">
      <c r="A20" s="93" t="s">
        <v>1495</v>
      </c>
      <c r="B20" s="68">
        <v>425</v>
      </c>
      <c r="C20" s="66">
        <v>390</v>
      </c>
      <c r="D20" s="164">
        <f>C20/B20</f>
        <v>0.9176470588235294</v>
      </c>
    </row>
    <row r="21" spans="1:4" ht="12.75">
      <c r="A21" s="93" t="s">
        <v>1496</v>
      </c>
      <c r="B21" s="68"/>
      <c r="C21" s="66"/>
      <c r="D21" s="164"/>
    </row>
    <row r="22" spans="1:4" ht="12.75">
      <c r="A22" s="93" t="s">
        <v>1497</v>
      </c>
      <c r="B22" s="68">
        <v>1290</v>
      </c>
      <c r="C22" s="66">
        <v>2130</v>
      </c>
      <c r="D22" s="164">
        <f aca="true" t="shared" si="1" ref="D22:D29">C22/B22</f>
        <v>1.6511627906976745</v>
      </c>
    </row>
    <row r="23" spans="1:4" ht="12.75">
      <c r="A23" s="93" t="s">
        <v>1498</v>
      </c>
      <c r="B23" s="68">
        <v>25</v>
      </c>
      <c r="C23" s="66"/>
      <c r="D23" s="164">
        <f t="shared" si="1"/>
        <v>0</v>
      </c>
    </row>
    <row r="24" spans="1:4" ht="12.75">
      <c r="A24" s="93" t="s">
        <v>1499</v>
      </c>
      <c r="B24" s="68">
        <v>3125</v>
      </c>
      <c r="C24" s="66">
        <v>2775</v>
      </c>
      <c r="D24" s="164">
        <f t="shared" si="1"/>
        <v>0.888</v>
      </c>
    </row>
    <row r="25" spans="1:4" ht="12.75">
      <c r="A25" s="93" t="s">
        <v>1500</v>
      </c>
      <c r="B25" s="68">
        <v>995</v>
      </c>
      <c r="C25" s="66">
        <v>1072</v>
      </c>
      <c r="D25" s="164">
        <f t="shared" si="1"/>
        <v>1.0773869346733669</v>
      </c>
    </row>
    <row r="26" spans="1:4" ht="12.75">
      <c r="A26" s="93" t="s">
        <v>24</v>
      </c>
      <c r="B26" s="68">
        <v>172</v>
      </c>
      <c r="C26" s="66">
        <v>191</v>
      </c>
      <c r="D26" s="164">
        <f t="shared" si="1"/>
        <v>1.1104651162790697</v>
      </c>
    </row>
    <row r="27" spans="1:4" ht="12.75">
      <c r="A27" s="165" t="s">
        <v>1501</v>
      </c>
      <c r="B27" s="68">
        <v>165</v>
      </c>
      <c r="C27" s="66">
        <v>165</v>
      </c>
      <c r="D27" s="164">
        <f t="shared" si="1"/>
        <v>1</v>
      </c>
    </row>
    <row r="28" spans="1:4" ht="12.75">
      <c r="A28" s="165" t="s">
        <v>1502</v>
      </c>
      <c r="B28" s="68">
        <v>154</v>
      </c>
      <c r="C28" s="66">
        <v>0</v>
      </c>
      <c r="D28" s="164">
        <f t="shared" si="1"/>
        <v>0</v>
      </c>
    </row>
    <row r="29" spans="1:4" ht="12.75">
      <c r="A29" s="165" t="s">
        <v>1503</v>
      </c>
      <c r="B29" s="68">
        <v>231</v>
      </c>
      <c r="C29" s="66">
        <v>216</v>
      </c>
      <c r="D29" s="164">
        <f t="shared" si="1"/>
        <v>0.935064935064935</v>
      </c>
    </row>
    <row r="30" spans="1:4" ht="12.75">
      <c r="A30" s="165" t="s">
        <v>557</v>
      </c>
      <c r="B30" s="68"/>
      <c r="C30" s="66">
        <v>135</v>
      </c>
      <c r="D30" s="164"/>
    </row>
    <row r="31" spans="1:4" ht="12.75">
      <c r="A31" s="165" t="s">
        <v>1504</v>
      </c>
      <c r="B31" s="68">
        <v>75</v>
      </c>
      <c r="C31" s="66">
        <v>66</v>
      </c>
      <c r="D31" s="164">
        <f>C31/B31</f>
        <v>0.88</v>
      </c>
    </row>
    <row r="32" spans="1:4" ht="12.75">
      <c r="A32" s="165" t="s">
        <v>556</v>
      </c>
      <c r="B32" s="68">
        <v>27</v>
      </c>
      <c r="C32" s="66">
        <v>27</v>
      </c>
      <c r="D32" s="164">
        <f>C32/B32</f>
        <v>1</v>
      </c>
    </row>
    <row r="33" spans="1:4" ht="12.75">
      <c r="A33" s="165" t="s">
        <v>1505</v>
      </c>
      <c r="B33" s="68">
        <v>111</v>
      </c>
      <c r="C33" s="66">
        <v>92</v>
      </c>
      <c r="D33" s="164">
        <f>C33/B33</f>
        <v>0.8288288288288288</v>
      </c>
    </row>
    <row r="34" spans="1:4" ht="12.75">
      <c r="A34" s="165" t="s">
        <v>729</v>
      </c>
      <c r="B34" s="68">
        <v>3839</v>
      </c>
      <c r="C34" s="66">
        <v>4238</v>
      </c>
      <c r="D34" s="164">
        <f>C34/B34</f>
        <v>1.1039333159676998</v>
      </c>
    </row>
    <row r="35" spans="1:4" ht="12.75">
      <c r="A35" s="165" t="s">
        <v>1506</v>
      </c>
      <c r="B35" s="68">
        <v>14157</v>
      </c>
      <c r="C35" s="66">
        <v>14141</v>
      </c>
      <c r="D35" s="164">
        <f>C35/B35</f>
        <v>0.9988698170516352</v>
      </c>
    </row>
    <row r="36" spans="1:4" ht="12.75">
      <c r="A36" s="165" t="s">
        <v>1509</v>
      </c>
      <c r="B36" s="68"/>
      <c r="C36" s="66">
        <v>451</v>
      </c>
      <c r="D36" s="164"/>
    </row>
    <row r="37" spans="1:4" ht="12.75">
      <c r="A37" s="165" t="s">
        <v>659</v>
      </c>
      <c r="B37" s="68"/>
      <c r="C37" s="66">
        <v>447</v>
      </c>
      <c r="D37" s="164"/>
    </row>
    <row r="38" spans="1:4" ht="12.75">
      <c r="A38" s="165" t="s">
        <v>1507</v>
      </c>
      <c r="B38" s="68">
        <v>5050</v>
      </c>
      <c r="C38" s="66">
        <v>4901</v>
      </c>
      <c r="D38" s="164">
        <f>C38/B38</f>
        <v>0.9704950495049505</v>
      </c>
    </row>
    <row r="39" spans="1:4" ht="12.75">
      <c r="A39" s="165" t="s">
        <v>1567</v>
      </c>
      <c r="B39" s="68">
        <v>15529</v>
      </c>
      <c r="C39" s="66">
        <v>16384</v>
      </c>
      <c r="D39" s="164">
        <f>C39/B39</f>
        <v>1.0550582780604032</v>
      </c>
    </row>
    <row r="40" spans="1:4" ht="12.75">
      <c r="A40" s="165"/>
      <c r="B40" s="68"/>
      <c r="C40" s="66"/>
      <c r="D40" s="164"/>
    </row>
    <row r="41" spans="1:4" ht="12.75">
      <c r="A41" s="165"/>
      <c r="B41" s="68"/>
      <c r="C41" s="66"/>
      <c r="D41" s="164"/>
    </row>
    <row r="42" spans="1:4" s="62" customFormat="1" ht="12.75">
      <c r="A42" s="166" t="s">
        <v>1508</v>
      </c>
      <c r="B42" s="72">
        <f>SUM(B6:B41)</f>
        <v>92834</v>
      </c>
      <c r="C42" s="73">
        <f>SUM(C6:C41)</f>
        <v>92251</v>
      </c>
      <c r="D42" s="164">
        <f>C42/B42</f>
        <v>0.9937199732856496</v>
      </c>
    </row>
    <row r="43" spans="1:4" ht="12.75">
      <c r="A43" s="165"/>
      <c r="B43" s="68"/>
      <c r="C43" s="66"/>
      <c r="D43" s="164"/>
    </row>
    <row r="44" spans="1:4" ht="12.75">
      <c r="A44" s="167"/>
      <c r="B44" s="70"/>
      <c r="C44" s="67"/>
      <c r="D44" s="168"/>
    </row>
  </sheetData>
  <mergeCells count="5">
    <mergeCell ref="A1:A4"/>
    <mergeCell ref="B1:C2"/>
    <mergeCell ref="D1:D4"/>
    <mergeCell ref="B3:B4"/>
    <mergeCell ref="C3:C4"/>
  </mergeCells>
  <printOptions horizontalCentered="1"/>
  <pageMargins left="0.7874015748031497" right="0.7874015748031497" top="1.86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dőlt"&amp;12KIMUTATÁS TISZAGYULAHÁZA KÖZSÉG 
2004-2005.ÉVI KÖZPONTI FORRÁSBÓL SZÁRMAZÓ BEVÉTELEIRŐL&amp;R&amp;"Arial,Dőlt"&amp;8I.számú melléklet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2" sqref="A22"/>
    </sheetView>
  </sheetViews>
  <sheetFormatPr defaultColWidth="9.00390625" defaultRowHeight="12.75"/>
  <cols>
    <col min="1" max="1" width="7.00390625" style="37" customWidth="1"/>
    <col min="2" max="3" width="10.375" style="55" customWidth="1"/>
    <col min="4" max="5" width="11.75390625" style="55" customWidth="1"/>
    <col min="6" max="6" width="12.25390625" style="9" customWidth="1"/>
    <col min="7" max="8" width="10.375" style="55" customWidth="1"/>
    <col min="9" max="10" width="11.875" style="55" bestFit="1" customWidth="1"/>
    <col min="11" max="11" width="14.875" style="243" bestFit="1" customWidth="1"/>
    <col min="12" max="12" width="13.75390625" style="55" bestFit="1" customWidth="1"/>
    <col min="13" max="16384" width="10.375" style="37" customWidth="1"/>
  </cols>
  <sheetData>
    <row r="1" spans="1:11" ht="12">
      <c r="A1" s="523" t="s">
        <v>109</v>
      </c>
      <c r="B1" s="522" t="s">
        <v>468</v>
      </c>
      <c r="C1" s="522" t="s">
        <v>469</v>
      </c>
      <c r="D1" s="518" t="s">
        <v>664</v>
      </c>
      <c r="E1" s="518" t="s">
        <v>664</v>
      </c>
      <c r="F1" s="521" t="s">
        <v>110</v>
      </c>
      <c r="G1" s="522" t="s">
        <v>468</v>
      </c>
      <c r="H1" s="522" t="s">
        <v>469</v>
      </c>
      <c r="I1" s="518" t="s">
        <v>664</v>
      </c>
      <c r="J1" s="518" t="s">
        <v>664</v>
      </c>
      <c r="K1" s="519" t="s">
        <v>111</v>
      </c>
    </row>
    <row r="2" spans="1:12" ht="12">
      <c r="A2" s="523"/>
      <c r="B2" s="523"/>
      <c r="C2" s="523"/>
      <c r="D2" s="520"/>
      <c r="E2" s="520"/>
      <c r="F2" s="521"/>
      <c r="G2" s="522"/>
      <c r="H2" s="522"/>
      <c r="I2" s="518"/>
      <c r="J2" s="518"/>
      <c r="K2" s="519"/>
      <c r="L2" s="55" t="s">
        <v>112</v>
      </c>
    </row>
    <row r="3" spans="1:11" ht="12">
      <c r="A3" s="523"/>
      <c r="B3" s="522"/>
      <c r="C3" s="522"/>
      <c r="D3" s="518"/>
      <c r="E3" s="518"/>
      <c r="F3" s="521"/>
      <c r="G3" s="522"/>
      <c r="H3" s="522"/>
      <c r="I3" s="518"/>
      <c r="J3" s="518"/>
      <c r="K3" s="519"/>
    </row>
    <row r="5" spans="1:12" ht="12">
      <c r="A5" s="37">
        <v>511212</v>
      </c>
      <c r="B5" s="55">
        <v>443300</v>
      </c>
      <c r="C5" s="55">
        <v>734499</v>
      </c>
      <c r="D5" s="55">
        <v>1366193</v>
      </c>
      <c r="E5" s="55">
        <v>1398226</v>
      </c>
      <c r="F5" s="248">
        <f>SUM(B5:E5)</f>
        <v>3942218</v>
      </c>
      <c r="G5" s="55">
        <v>530682</v>
      </c>
      <c r="H5" s="55">
        <v>824299</v>
      </c>
      <c r="I5" s="55">
        <v>1366193</v>
      </c>
      <c r="J5" s="55">
        <v>1403027</v>
      </c>
      <c r="K5" s="243">
        <f>SUM(G5:J5)</f>
        <v>4124201</v>
      </c>
      <c r="L5" s="55">
        <f>F5+K5</f>
        <v>8066419</v>
      </c>
    </row>
    <row r="6" spans="1:12" ht="12">
      <c r="A6" s="37">
        <v>511242</v>
      </c>
      <c r="B6" s="55">
        <v>26656</v>
      </c>
      <c r="C6" s="55">
        <v>30184</v>
      </c>
      <c r="D6" s="55">
        <v>83300</v>
      </c>
      <c r="E6" s="55">
        <v>146431</v>
      </c>
      <c r="F6" s="248">
        <f aca="true" t="shared" si="0" ref="F6:F19">SUM(B6:E6)</f>
        <v>286571</v>
      </c>
      <c r="K6" s="243">
        <f aca="true" t="shared" si="1" ref="K6:K19">SUM(G6:J6)</f>
        <v>0</v>
      </c>
      <c r="L6" s="55">
        <f aca="true" t="shared" si="2" ref="L6:L19">F6+K6</f>
        <v>286571</v>
      </c>
    </row>
    <row r="7" spans="1:12" ht="12">
      <c r="A7" s="37">
        <v>511252</v>
      </c>
      <c r="E7" s="55">
        <v>1400</v>
      </c>
      <c r="F7" s="248">
        <f t="shared" si="0"/>
        <v>1400</v>
      </c>
      <c r="J7" s="55">
        <v>1400</v>
      </c>
      <c r="K7" s="243">
        <f t="shared" si="1"/>
        <v>1400</v>
      </c>
      <c r="L7" s="55">
        <f t="shared" si="2"/>
        <v>2800</v>
      </c>
    </row>
    <row r="8" spans="1:12" ht="12">
      <c r="A8" s="37">
        <v>512232</v>
      </c>
      <c r="D8" s="55">
        <v>116980</v>
      </c>
      <c r="E8" s="55">
        <v>164073</v>
      </c>
      <c r="F8" s="248">
        <f t="shared" si="0"/>
        <v>281053</v>
      </c>
      <c r="K8" s="243">
        <f t="shared" si="1"/>
        <v>0</v>
      </c>
      <c r="L8" s="55">
        <f t="shared" si="2"/>
        <v>281053</v>
      </c>
    </row>
    <row r="9" spans="1:12" ht="12">
      <c r="A9" s="37">
        <v>512242</v>
      </c>
      <c r="D9" s="55">
        <v>16400</v>
      </c>
      <c r="E9" s="55">
        <v>37275</v>
      </c>
      <c r="F9" s="248">
        <f t="shared" si="0"/>
        <v>53675</v>
      </c>
      <c r="G9" s="55">
        <v>28650</v>
      </c>
      <c r="H9" s="55">
        <v>49784</v>
      </c>
      <c r="I9" s="55">
        <v>83300</v>
      </c>
      <c r="J9" s="55">
        <v>146608</v>
      </c>
      <c r="K9" s="243">
        <f t="shared" si="1"/>
        <v>308342</v>
      </c>
      <c r="L9" s="55">
        <f t="shared" si="2"/>
        <v>362017</v>
      </c>
    </row>
    <row r="10" spans="1:12" ht="12">
      <c r="A10" s="37">
        <v>512292</v>
      </c>
      <c r="D10" s="55">
        <v>5478</v>
      </c>
      <c r="E10" s="55">
        <v>5751</v>
      </c>
      <c r="F10" s="248">
        <f t="shared" si="0"/>
        <v>11229</v>
      </c>
      <c r="I10" s="55">
        <v>23012</v>
      </c>
      <c r="J10" s="55">
        <v>24154</v>
      </c>
      <c r="K10" s="243">
        <f t="shared" si="1"/>
        <v>47166</v>
      </c>
      <c r="L10" s="55">
        <f t="shared" si="2"/>
        <v>58395</v>
      </c>
    </row>
    <row r="11" spans="1:12" ht="12">
      <c r="A11" s="37">
        <v>513292</v>
      </c>
      <c r="E11" s="55">
        <v>28260</v>
      </c>
      <c r="F11" s="248">
        <f t="shared" si="0"/>
        <v>28260</v>
      </c>
      <c r="K11" s="243">
        <f t="shared" si="1"/>
        <v>0</v>
      </c>
      <c r="L11" s="55">
        <f t="shared" si="2"/>
        <v>28260</v>
      </c>
    </row>
    <row r="12" spans="1:12" ht="12">
      <c r="A12" s="37">
        <v>513222</v>
      </c>
      <c r="F12" s="248"/>
      <c r="I12" s="55">
        <v>505500</v>
      </c>
      <c r="K12" s="243">
        <f t="shared" si="1"/>
        <v>505500</v>
      </c>
      <c r="L12" s="55">
        <f t="shared" si="2"/>
        <v>505500</v>
      </c>
    </row>
    <row r="13" spans="1:12" ht="12">
      <c r="A13" s="37">
        <v>514232</v>
      </c>
      <c r="B13" s="55">
        <v>3600</v>
      </c>
      <c r="E13" s="55">
        <v>45088</v>
      </c>
      <c r="F13" s="248">
        <f t="shared" si="0"/>
        <v>48688</v>
      </c>
      <c r="K13" s="243">
        <f t="shared" si="1"/>
        <v>0</v>
      </c>
      <c r="L13" s="55">
        <f t="shared" si="2"/>
        <v>48688</v>
      </c>
    </row>
    <row r="14" spans="1:12" ht="12">
      <c r="A14" s="37">
        <v>514292</v>
      </c>
      <c r="F14" s="248"/>
      <c r="G14" s="55">
        <v>28000</v>
      </c>
      <c r="H14" s="55">
        <v>42000</v>
      </c>
      <c r="I14" s="55">
        <v>98000</v>
      </c>
      <c r="J14" s="55">
        <v>154000</v>
      </c>
      <c r="K14" s="243">
        <f t="shared" si="1"/>
        <v>322000</v>
      </c>
      <c r="L14" s="55">
        <f t="shared" si="2"/>
        <v>322000</v>
      </c>
    </row>
    <row r="15" spans="1:12" ht="12">
      <c r="A15" s="37">
        <v>52221</v>
      </c>
      <c r="F15" s="248"/>
      <c r="G15" s="55">
        <v>24000</v>
      </c>
      <c r="K15" s="243">
        <f t="shared" si="1"/>
        <v>24000</v>
      </c>
      <c r="L15" s="55">
        <f t="shared" si="2"/>
        <v>24000</v>
      </c>
    </row>
    <row r="16" spans="1:12" ht="12">
      <c r="A16" s="37">
        <v>522272</v>
      </c>
      <c r="E16" s="55">
        <v>516549</v>
      </c>
      <c r="F16" s="248">
        <f t="shared" si="0"/>
        <v>516549</v>
      </c>
      <c r="J16" s="55">
        <v>549565</v>
      </c>
      <c r="K16" s="243">
        <f t="shared" si="1"/>
        <v>549565</v>
      </c>
      <c r="L16" s="55">
        <f t="shared" si="2"/>
        <v>1066114</v>
      </c>
    </row>
    <row r="17" spans="1:12" ht="12">
      <c r="A17" s="37">
        <v>53122</v>
      </c>
      <c r="B17" s="55">
        <v>136287</v>
      </c>
      <c r="C17" s="55">
        <v>221759</v>
      </c>
      <c r="D17" s="55">
        <v>460616</v>
      </c>
      <c r="E17" s="55">
        <v>666411</v>
      </c>
      <c r="F17" s="248">
        <f t="shared" si="0"/>
        <v>1485073</v>
      </c>
      <c r="G17" s="55">
        <v>162206</v>
      </c>
      <c r="H17" s="55">
        <v>253485</v>
      </c>
      <c r="I17" s="55">
        <v>573615</v>
      </c>
      <c r="J17" s="55">
        <v>616180</v>
      </c>
      <c r="K17" s="243">
        <f t="shared" si="1"/>
        <v>1605486</v>
      </c>
      <c r="L17" s="55">
        <f t="shared" si="2"/>
        <v>3090559</v>
      </c>
    </row>
    <row r="18" spans="1:12" ht="12">
      <c r="A18" s="37">
        <v>5322</v>
      </c>
      <c r="B18" s="55">
        <v>14098</v>
      </c>
      <c r="C18" s="55">
        <v>22942</v>
      </c>
      <c r="D18" s="55">
        <v>47650</v>
      </c>
      <c r="E18" s="55">
        <v>68941</v>
      </c>
      <c r="F18" s="248">
        <f t="shared" si="0"/>
        <v>153631</v>
      </c>
      <c r="G18" s="55">
        <v>16779</v>
      </c>
      <c r="H18" s="55">
        <v>26224</v>
      </c>
      <c r="I18" s="55">
        <v>59339</v>
      </c>
      <c r="J18" s="55">
        <v>63741</v>
      </c>
      <c r="K18" s="243">
        <f t="shared" si="1"/>
        <v>166083</v>
      </c>
      <c r="L18" s="55">
        <f t="shared" si="2"/>
        <v>319714</v>
      </c>
    </row>
    <row r="19" spans="1:12" ht="12">
      <c r="A19" s="37">
        <v>5332</v>
      </c>
      <c r="B19" s="55">
        <v>5850</v>
      </c>
      <c r="C19" s="55">
        <v>9750</v>
      </c>
      <c r="D19" s="55">
        <v>15600</v>
      </c>
      <c r="E19" s="55">
        <v>21450</v>
      </c>
      <c r="F19" s="248">
        <f t="shared" si="0"/>
        <v>52650</v>
      </c>
      <c r="G19" s="55">
        <v>9329</v>
      </c>
      <c r="H19" s="55">
        <v>11700</v>
      </c>
      <c r="I19" s="55">
        <v>15600</v>
      </c>
      <c r="J19" s="55">
        <v>21450</v>
      </c>
      <c r="K19" s="243">
        <f t="shared" si="1"/>
        <v>58079</v>
      </c>
      <c r="L19" s="55">
        <f t="shared" si="2"/>
        <v>110729</v>
      </c>
    </row>
    <row r="20" spans="1:12" ht="12">
      <c r="A20" s="37" t="s">
        <v>113</v>
      </c>
      <c r="L20" s="55">
        <f>SUM(L5:L19)</f>
        <v>14572819</v>
      </c>
    </row>
    <row r="21" spans="1:12" ht="12">
      <c r="A21" s="37" t="s">
        <v>115</v>
      </c>
      <c r="L21" s="55">
        <v>-10643000</v>
      </c>
    </row>
    <row r="22" spans="1:12" ht="12">
      <c r="A22" s="37" t="s">
        <v>114</v>
      </c>
      <c r="L22" s="226">
        <f>SUM(L20:L21)</f>
        <v>3929819</v>
      </c>
    </row>
  </sheetData>
  <mergeCells count="11">
    <mergeCell ref="A1:A3"/>
    <mergeCell ref="B1:B3"/>
    <mergeCell ref="C1:C3"/>
    <mergeCell ref="D1:D3"/>
    <mergeCell ref="I1:I3"/>
    <mergeCell ref="J1:J3"/>
    <mergeCell ref="K1:K3"/>
    <mergeCell ref="E1:E3"/>
    <mergeCell ref="F1:F3"/>
    <mergeCell ref="G1:G3"/>
    <mergeCell ref="H1:H3"/>
  </mergeCells>
  <printOptions/>
  <pageMargins left="0.47" right="0.42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H7" sqref="H7"/>
    </sheetView>
  </sheetViews>
  <sheetFormatPr defaultColWidth="9.00390625" defaultRowHeight="12.75"/>
  <cols>
    <col min="1" max="1" width="22.875" style="1" bestFit="1" customWidth="1"/>
    <col min="2" max="2" width="11.625" style="11" customWidth="1"/>
    <col min="3" max="3" width="10.25390625" style="11" customWidth="1"/>
    <col min="4" max="4" width="12.75390625" style="11" customWidth="1"/>
    <col min="5" max="5" width="9.875" style="11" customWidth="1"/>
    <col min="6" max="6" width="12.75390625" style="11" customWidth="1"/>
    <col min="7" max="7" width="10.00390625" style="1" bestFit="1" customWidth="1"/>
    <col min="8" max="16384" width="9.125" style="1" customWidth="1"/>
  </cols>
  <sheetData>
    <row r="1" spans="1:6" ht="12.75">
      <c r="A1" s="530" t="s">
        <v>607</v>
      </c>
      <c r="B1" s="524" t="s">
        <v>1488</v>
      </c>
      <c r="C1" s="524" t="s">
        <v>1487</v>
      </c>
      <c r="D1" s="524" t="s">
        <v>1592</v>
      </c>
      <c r="E1" s="524" t="s">
        <v>1593</v>
      </c>
      <c r="F1" s="527" t="s">
        <v>1594</v>
      </c>
    </row>
    <row r="2" spans="1:6" ht="12.75">
      <c r="A2" s="531"/>
      <c r="B2" s="525"/>
      <c r="C2" s="525"/>
      <c r="D2" s="525"/>
      <c r="E2" s="525"/>
      <c r="F2" s="528"/>
    </row>
    <row r="3" spans="1:6" ht="13.5" thickBot="1">
      <c r="A3" s="532"/>
      <c r="B3" s="526"/>
      <c r="C3" s="526"/>
      <c r="D3" s="526"/>
      <c r="E3" s="526"/>
      <c r="F3" s="529"/>
    </row>
    <row r="4" spans="1:6" ht="13.5" thickTop="1">
      <c r="A4" s="82"/>
      <c r="B4" s="68"/>
      <c r="C4" s="68"/>
      <c r="D4" s="68"/>
      <c r="E4" s="68"/>
      <c r="F4" s="66"/>
    </row>
    <row r="5" spans="1:6" ht="12.75">
      <c r="A5" s="83" t="s">
        <v>341</v>
      </c>
      <c r="B5" s="68"/>
      <c r="C5" s="68"/>
      <c r="D5" s="68"/>
      <c r="E5" s="68"/>
      <c r="F5" s="66"/>
    </row>
    <row r="6" spans="1:7" ht="12.75">
      <c r="A6" s="82" t="s">
        <v>608</v>
      </c>
      <c r="B6" s="68">
        <v>17531</v>
      </c>
      <c r="C6" s="68">
        <v>5081</v>
      </c>
      <c r="D6" s="68">
        <v>2130</v>
      </c>
      <c r="E6" s="68"/>
      <c r="F6" s="66">
        <v>1072</v>
      </c>
      <c r="G6" s="75">
        <f aca="true" t="shared" si="0" ref="G6:G20">SUM(B6:F6)</f>
        <v>25814</v>
      </c>
    </row>
    <row r="7" spans="1:7" ht="12.75">
      <c r="A7" s="82" t="s">
        <v>609</v>
      </c>
      <c r="B7" s="68">
        <v>0</v>
      </c>
      <c r="C7" s="68">
        <v>0</v>
      </c>
      <c r="D7" s="68">
        <v>4965</v>
      </c>
      <c r="E7" s="68"/>
      <c r="F7" s="66">
        <v>50</v>
      </c>
      <c r="G7" s="75">
        <f t="shared" si="0"/>
        <v>5015</v>
      </c>
    </row>
    <row r="8" spans="1:7" ht="12.75">
      <c r="A8" s="82" t="s">
        <v>610</v>
      </c>
      <c r="B8" s="68">
        <v>0</v>
      </c>
      <c r="C8" s="68">
        <v>0</v>
      </c>
      <c r="D8" s="68">
        <v>0</v>
      </c>
      <c r="E8" s="68">
        <v>2023</v>
      </c>
      <c r="F8" s="66"/>
      <c r="G8" s="75">
        <f t="shared" si="0"/>
        <v>2023</v>
      </c>
    </row>
    <row r="9" spans="1:7" ht="12.75">
      <c r="A9" s="82"/>
      <c r="B9" s="68"/>
      <c r="C9" s="68"/>
      <c r="D9" s="68"/>
      <c r="E9" s="68"/>
      <c r="F9" s="66"/>
      <c r="G9" s="75">
        <f t="shared" si="0"/>
        <v>0</v>
      </c>
    </row>
    <row r="10" spans="1:7" s="62" customFormat="1" ht="12.75">
      <c r="A10" s="83" t="s">
        <v>611</v>
      </c>
      <c r="B10" s="72">
        <f>SUM(B6:B9)</f>
        <v>17531</v>
      </c>
      <c r="C10" s="72">
        <f>SUM(C6:C9)</f>
        <v>5081</v>
      </c>
      <c r="D10" s="72">
        <f>SUM(D6:D9)</f>
        <v>7095</v>
      </c>
      <c r="E10" s="72">
        <f>SUM(E6:E9)</f>
        <v>2023</v>
      </c>
      <c r="F10" s="73">
        <f>SUM(F6:F9)</f>
        <v>1122</v>
      </c>
      <c r="G10" s="75">
        <f t="shared" si="0"/>
        <v>32852</v>
      </c>
    </row>
    <row r="11" spans="1:7" ht="12.75">
      <c r="A11" s="82"/>
      <c r="B11" s="68"/>
      <c r="C11" s="68"/>
      <c r="D11" s="68"/>
      <c r="E11" s="68"/>
      <c r="F11" s="66"/>
      <c r="G11" s="75">
        <f t="shared" si="0"/>
        <v>0</v>
      </c>
    </row>
    <row r="12" spans="1:7" ht="12.75">
      <c r="A12" s="83" t="s">
        <v>612</v>
      </c>
      <c r="B12" s="68"/>
      <c r="C12" s="68"/>
      <c r="D12" s="68"/>
      <c r="E12" s="68"/>
      <c r="F12" s="66"/>
      <c r="G12" s="75">
        <f t="shared" si="0"/>
        <v>0</v>
      </c>
    </row>
    <row r="13" spans="1:7" ht="12.75">
      <c r="A13" s="82" t="s">
        <v>797</v>
      </c>
      <c r="B13" s="68">
        <v>23976</v>
      </c>
      <c r="C13" s="68">
        <v>6448</v>
      </c>
      <c r="D13" s="68">
        <v>5026</v>
      </c>
      <c r="E13" s="68">
        <v>1593</v>
      </c>
      <c r="F13" s="66">
        <v>1292</v>
      </c>
      <c r="G13" s="75">
        <f t="shared" si="0"/>
        <v>38335</v>
      </c>
    </row>
    <row r="14" spans="1:7" ht="12.75">
      <c r="A14" s="82" t="s">
        <v>613</v>
      </c>
      <c r="B14" s="68">
        <v>7692</v>
      </c>
      <c r="C14" s="68">
        <v>2054</v>
      </c>
      <c r="D14" s="68">
        <v>1640</v>
      </c>
      <c r="E14" s="68">
        <v>488</v>
      </c>
      <c r="F14" s="66">
        <v>415</v>
      </c>
      <c r="G14" s="75">
        <f t="shared" si="0"/>
        <v>12289</v>
      </c>
    </row>
    <row r="15" spans="1:7" ht="12.75">
      <c r="A15" s="82" t="s">
        <v>339</v>
      </c>
      <c r="B15" s="68">
        <v>5750</v>
      </c>
      <c r="C15" s="68">
        <v>2434</v>
      </c>
      <c r="D15" s="68">
        <v>5366</v>
      </c>
      <c r="E15" s="68">
        <v>790</v>
      </c>
      <c r="F15" s="66">
        <v>909</v>
      </c>
      <c r="G15" s="75">
        <f t="shared" si="0"/>
        <v>15249</v>
      </c>
    </row>
    <row r="16" spans="1:7" ht="12.75">
      <c r="A16" s="82" t="s">
        <v>614</v>
      </c>
      <c r="B16" s="68">
        <v>0</v>
      </c>
      <c r="C16" s="68"/>
      <c r="D16" s="68"/>
      <c r="E16" s="68">
        <v>600</v>
      </c>
      <c r="F16" s="66">
        <v>80</v>
      </c>
      <c r="G16" s="75">
        <f t="shared" si="0"/>
        <v>680</v>
      </c>
    </row>
    <row r="17" spans="1:7" ht="12.75">
      <c r="A17" s="82"/>
      <c r="B17" s="68"/>
      <c r="C17" s="68"/>
      <c r="D17" s="68"/>
      <c r="E17" s="68"/>
      <c r="F17" s="66"/>
      <c r="G17" s="75">
        <f t="shared" si="0"/>
        <v>0</v>
      </c>
    </row>
    <row r="18" spans="1:7" s="62" customFormat="1" ht="12.75">
      <c r="A18" s="83" t="s">
        <v>1019</v>
      </c>
      <c r="B18" s="72">
        <f>SUM(B13:B17)</f>
        <v>37418</v>
      </c>
      <c r="C18" s="72">
        <f>SUM(C13:C17)</f>
        <v>10936</v>
      </c>
      <c r="D18" s="72">
        <f>SUM(D13:D17)</f>
        <v>12032</v>
      </c>
      <c r="E18" s="72">
        <f>SUM(E13:E17)</f>
        <v>3471</v>
      </c>
      <c r="F18" s="73">
        <f>SUM(F13:F17)</f>
        <v>2696</v>
      </c>
      <c r="G18" s="75">
        <f t="shared" si="0"/>
        <v>66553</v>
      </c>
    </row>
    <row r="19" spans="1:7" ht="12.75">
      <c r="A19" s="82"/>
      <c r="B19" s="68"/>
      <c r="C19" s="68"/>
      <c r="D19" s="68"/>
      <c r="E19" s="68"/>
      <c r="F19" s="66"/>
      <c r="G19" s="75">
        <f t="shared" si="0"/>
        <v>0</v>
      </c>
    </row>
    <row r="20" spans="1:7" s="12" customFormat="1" ht="12.75">
      <c r="A20" s="170" t="s">
        <v>1591</v>
      </c>
      <c r="B20" s="169">
        <f>B10-B18</f>
        <v>-19887</v>
      </c>
      <c r="C20" s="169">
        <f>C10-C18</f>
        <v>-5855</v>
      </c>
      <c r="D20" s="169">
        <f>D10-D18</f>
        <v>-4937</v>
      </c>
      <c r="E20" s="169">
        <f>E10-E18</f>
        <v>-1448</v>
      </c>
      <c r="F20" s="171">
        <f>F10-F18</f>
        <v>-1574</v>
      </c>
      <c r="G20" s="75">
        <f t="shared" si="0"/>
        <v>-33701</v>
      </c>
    </row>
    <row r="21" spans="1:6" ht="12.75">
      <c r="A21" s="82"/>
      <c r="B21" s="68"/>
      <c r="C21" s="68"/>
      <c r="D21" s="68"/>
      <c r="E21" s="68"/>
      <c r="F21" s="66"/>
    </row>
    <row r="22" spans="1:6" ht="12.75">
      <c r="A22" s="84"/>
      <c r="B22" s="70"/>
      <c r="C22" s="70"/>
      <c r="D22" s="70"/>
      <c r="E22" s="70"/>
      <c r="F22" s="67"/>
    </row>
  </sheetData>
  <mergeCells count="6">
    <mergeCell ref="E1:E3"/>
    <mergeCell ref="F1:F3"/>
    <mergeCell ref="B1:B3"/>
    <mergeCell ref="A1:A3"/>
    <mergeCell ref="C1:C3"/>
    <mergeCell ref="D1:D3"/>
  </mergeCells>
  <printOptions horizontalCentered="1"/>
  <pageMargins left="0.7874015748031497" right="0.7874015748031497" top="1.535433070866142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dőlt"&amp;12KIMUTATÁS NÉHÁNY KIEMELT FELADAT
TERVEZETT  BEVÉTELÉRŐL  ÉS KIADÁSÁRÓL&amp;R&amp;"Arial,Dőlt"&amp;8II.számú melléklet</oddHead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150"/>
  <sheetViews>
    <sheetView workbookViewId="0" topLeftCell="A10">
      <selection activeCell="D110" sqref="D110"/>
    </sheetView>
  </sheetViews>
  <sheetFormatPr defaultColWidth="9.00390625" defaultRowHeight="12.75"/>
  <cols>
    <col min="1" max="1" width="39.75390625" style="37" customWidth="1"/>
    <col min="2" max="4" width="14.75390625" style="37" customWidth="1"/>
    <col min="5" max="16384" width="9.125" style="37" customWidth="1"/>
  </cols>
  <sheetData>
    <row r="2" ht="12">
      <c r="A2" s="145" t="s">
        <v>1027</v>
      </c>
    </row>
    <row r="4" spans="1:4" ht="40.5" customHeight="1">
      <c r="A4" s="317" t="s">
        <v>1028</v>
      </c>
      <c r="B4" s="317"/>
      <c r="C4" s="317"/>
      <c r="D4" s="317"/>
    </row>
    <row r="6" ht="12">
      <c r="A6" s="37" t="s">
        <v>1282</v>
      </c>
    </row>
    <row r="7" ht="12">
      <c r="A7" s="37" t="s">
        <v>1283</v>
      </c>
    </row>
    <row r="9" ht="12">
      <c r="A9" s="27" t="s">
        <v>471</v>
      </c>
    </row>
    <row r="10" ht="12">
      <c r="A10" s="61" t="s">
        <v>797</v>
      </c>
    </row>
    <row r="11" ht="12">
      <c r="A11" s="9" t="s">
        <v>371</v>
      </c>
    </row>
    <row r="12" spans="1:4" ht="12">
      <c r="A12" s="37" t="s">
        <v>1285</v>
      </c>
      <c r="B12" s="249" t="s">
        <v>1284</v>
      </c>
      <c r="C12" s="249" t="s">
        <v>161</v>
      </c>
      <c r="D12" s="55"/>
    </row>
    <row r="13" spans="1:4" ht="12">
      <c r="A13" s="37" t="s">
        <v>1286</v>
      </c>
      <c r="B13" s="55">
        <f>kab!$I$11</f>
        <v>83700</v>
      </c>
      <c r="C13" s="55">
        <f>B13*1</f>
        <v>83700</v>
      </c>
      <c r="D13" s="55"/>
    </row>
    <row r="14" spans="1:4" ht="12">
      <c r="A14" s="37" t="s">
        <v>1510</v>
      </c>
      <c r="B14" s="55">
        <f>kab!$H$11</f>
        <v>87800</v>
      </c>
      <c r="C14" s="55">
        <f>B14*11</f>
        <v>965800</v>
      </c>
      <c r="D14" s="55"/>
    </row>
    <row r="15" spans="1:4" ht="12">
      <c r="A15" s="37" t="s">
        <v>1570</v>
      </c>
      <c r="B15" s="55">
        <f>kab!$H$11</f>
        <v>87800</v>
      </c>
      <c r="C15" s="55">
        <f>B15*1</f>
        <v>87800</v>
      </c>
      <c r="D15" s="55"/>
    </row>
    <row r="16" spans="1:4" ht="12">
      <c r="A16" s="37" t="s">
        <v>1287</v>
      </c>
      <c r="B16" s="55"/>
      <c r="C16" s="55">
        <f>SUM(C13:C15)</f>
        <v>1137300</v>
      </c>
      <c r="D16" s="55">
        <f>ROUND(C16/1000,0)</f>
        <v>1137</v>
      </c>
    </row>
    <row r="17" spans="2:4" ht="12">
      <c r="B17" s="55"/>
      <c r="C17" s="55"/>
      <c r="D17" s="55"/>
    </row>
    <row r="18" spans="1:4" s="9" customFormat="1" ht="12">
      <c r="A18" s="9" t="s">
        <v>1288</v>
      </c>
      <c r="B18" s="243"/>
      <c r="C18" s="243">
        <f>SUM(C16:C17)</f>
        <v>1137300</v>
      </c>
      <c r="D18" s="243">
        <f>SUM(D16:D17)</f>
        <v>1137</v>
      </c>
    </row>
    <row r="19" spans="2:4" ht="12">
      <c r="B19" s="55"/>
      <c r="C19" s="55"/>
      <c r="D19" s="55"/>
    </row>
    <row r="20" spans="1:4" ht="12">
      <c r="A20" s="9" t="s">
        <v>163</v>
      </c>
      <c r="B20" s="55"/>
      <c r="C20" s="55"/>
      <c r="D20" s="55"/>
    </row>
    <row r="21" spans="1:4" ht="12">
      <c r="A21" s="37" t="s">
        <v>164</v>
      </c>
      <c r="B21" s="55"/>
      <c r="C21" s="55"/>
      <c r="D21" s="55"/>
    </row>
    <row r="22" spans="1:4" ht="12">
      <c r="A22" s="37" t="s">
        <v>794</v>
      </c>
      <c r="B22" s="55"/>
      <c r="C22" s="55">
        <f>kab!H7</f>
        <v>87800</v>
      </c>
      <c r="D22" s="55">
        <f>ROUND(C22/1000,0)</f>
        <v>88</v>
      </c>
    </row>
    <row r="23" spans="2:4" ht="12">
      <c r="B23" s="55"/>
      <c r="C23" s="55"/>
      <c r="D23" s="55"/>
    </row>
    <row r="24" spans="1:4" ht="12">
      <c r="A24" s="37" t="s">
        <v>166</v>
      </c>
      <c r="B24" s="55"/>
      <c r="C24" s="55"/>
      <c r="D24" s="55"/>
    </row>
    <row r="25" spans="2:4" ht="12">
      <c r="B25" s="55"/>
      <c r="C25" s="55"/>
      <c r="D25" s="55"/>
    </row>
    <row r="26" spans="1:4" ht="12">
      <c r="A26" s="37" t="s">
        <v>1269</v>
      </c>
      <c r="B26" s="55"/>
      <c r="C26" s="55"/>
      <c r="D26" s="55"/>
    </row>
    <row r="27" spans="1:4" ht="12">
      <c r="A27" s="37" t="s">
        <v>1270</v>
      </c>
      <c r="B27" s="55">
        <v>1</v>
      </c>
      <c r="C27" s="55"/>
      <c r="D27" s="55"/>
    </row>
    <row r="28" spans="1:4" ht="12">
      <c r="A28" s="37" t="s">
        <v>1271</v>
      </c>
      <c r="B28" s="55">
        <v>12000</v>
      </c>
      <c r="C28" s="55"/>
      <c r="D28" s="55"/>
    </row>
    <row r="29" spans="1:4" ht="12">
      <c r="A29" s="37" t="s">
        <v>1269</v>
      </c>
      <c r="B29" s="55"/>
      <c r="C29" s="55">
        <f>B27*B28*12</f>
        <v>144000</v>
      </c>
      <c r="D29" s="55">
        <f>ROUND(C29/1000,0)</f>
        <v>144</v>
      </c>
    </row>
    <row r="30" spans="2:4" ht="12">
      <c r="B30" s="55"/>
      <c r="C30" s="55"/>
      <c r="D30" s="55"/>
    </row>
    <row r="31" spans="1:4" ht="12">
      <c r="A31" s="37" t="s">
        <v>1272</v>
      </c>
      <c r="B31" s="55"/>
      <c r="C31" s="55"/>
      <c r="D31" s="55"/>
    </row>
    <row r="32" spans="1:4" ht="12">
      <c r="A32" s="37" t="s">
        <v>1270</v>
      </c>
      <c r="B32" s="55">
        <v>1</v>
      </c>
      <c r="C32" s="55"/>
      <c r="D32" s="55"/>
    </row>
    <row r="33" spans="1:4" ht="12">
      <c r="A33" s="37" t="s">
        <v>1273</v>
      </c>
      <c r="B33" s="55"/>
      <c r="C33" s="55"/>
      <c r="D33" s="55"/>
    </row>
    <row r="34" spans="1:4" ht="12">
      <c r="A34" s="37" t="s">
        <v>1272</v>
      </c>
      <c r="B34" s="55"/>
      <c r="C34" s="55">
        <f>B32*B33*12</f>
        <v>0</v>
      </c>
      <c r="D34" s="55">
        <f>ROUND(C34/1000,0)</f>
        <v>0</v>
      </c>
    </row>
    <row r="36" spans="1:4" s="9" customFormat="1" ht="12">
      <c r="A36" s="37" t="s">
        <v>166</v>
      </c>
      <c r="B36" s="37"/>
      <c r="C36" s="114">
        <f>SUM(C29:C35)</f>
        <v>144000</v>
      </c>
      <c r="D36" s="114">
        <f>SUM(D29:D35)</f>
        <v>144</v>
      </c>
    </row>
    <row r="38" spans="1:4" s="61" customFormat="1" ht="12">
      <c r="A38" s="9" t="s">
        <v>1274</v>
      </c>
      <c r="B38" s="9"/>
      <c r="C38" s="248">
        <f>C22+C36</f>
        <v>231800</v>
      </c>
      <c r="D38" s="248">
        <f>D22+D36</f>
        <v>232</v>
      </c>
    </row>
    <row r="40" spans="1:4" ht="12">
      <c r="A40" s="61" t="s">
        <v>1275</v>
      </c>
      <c r="B40" s="61"/>
      <c r="C40" s="250">
        <f>C18+C38</f>
        <v>1369100</v>
      </c>
      <c r="D40" s="250">
        <f>D18+D38</f>
        <v>1369</v>
      </c>
    </row>
    <row r="42" spans="1:4" s="61" customFormat="1" ht="12">
      <c r="A42" s="61" t="s">
        <v>1276</v>
      </c>
      <c r="B42" s="37"/>
      <c r="C42" s="37"/>
      <c r="D42" s="37"/>
    </row>
    <row r="43" spans="1:4" ht="12">
      <c r="A43" s="37" t="s">
        <v>1277</v>
      </c>
      <c r="B43" s="63" t="s">
        <v>175</v>
      </c>
      <c r="C43" s="63" t="s">
        <v>1129</v>
      </c>
      <c r="D43" s="55"/>
    </row>
    <row r="44" spans="1:4" ht="12">
      <c r="A44" s="37" t="s">
        <v>1130</v>
      </c>
      <c r="B44" s="55">
        <f>C18+C22</f>
        <v>1225100</v>
      </c>
      <c r="C44" s="55">
        <f>B44*24%</f>
        <v>294024</v>
      </c>
      <c r="D44" s="55">
        <f>ROUND(C44/1000,0)</f>
        <v>294</v>
      </c>
    </row>
    <row r="45" spans="2:4" ht="12">
      <c r="B45" s="63" t="s">
        <v>175</v>
      </c>
      <c r="C45" s="63" t="s">
        <v>1131</v>
      </c>
      <c r="D45" s="55"/>
    </row>
    <row r="46" spans="1:4" ht="12">
      <c r="A46" s="37" t="s">
        <v>1132</v>
      </c>
      <c r="B46" s="55">
        <f>C18+C22</f>
        <v>1225100</v>
      </c>
      <c r="C46" s="55">
        <f>B46*4.5%</f>
        <v>55129.5</v>
      </c>
      <c r="D46" s="55">
        <f>ROUND(C46/1000,0)</f>
        <v>55</v>
      </c>
    </row>
    <row r="47" spans="2:4" ht="12">
      <c r="B47" s="63" t="s">
        <v>175</v>
      </c>
      <c r="C47" s="63" t="s">
        <v>1134</v>
      </c>
      <c r="D47" s="55"/>
    </row>
    <row r="48" spans="1:4" ht="12">
      <c r="A48" s="37" t="s">
        <v>1133</v>
      </c>
      <c r="B48" s="55">
        <f>C18+C22</f>
        <v>1225100</v>
      </c>
      <c r="C48" s="55">
        <f>B48*0.5%</f>
        <v>6125.5</v>
      </c>
      <c r="D48" s="55">
        <f>ROUND(C48/1000,0)</f>
        <v>6</v>
      </c>
    </row>
    <row r="49" spans="1:4" ht="12">
      <c r="A49" s="37" t="s">
        <v>1135</v>
      </c>
      <c r="B49" s="55"/>
      <c r="C49" s="55">
        <f>C44+C46+C48</f>
        <v>355279</v>
      </c>
      <c r="D49" s="55">
        <f>D44+D46+D48</f>
        <v>355</v>
      </c>
    </row>
    <row r="50" spans="2:4" ht="12">
      <c r="B50" s="55"/>
      <c r="C50" s="55"/>
      <c r="D50" s="55"/>
    </row>
    <row r="51" spans="2:4" ht="12">
      <c r="B51" s="63" t="s">
        <v>175</v>
      </c>
      <c r="C51" s="63" t="s">
        <v>176</v>
      </c>
      <c r="D51" s="55"/>
    </row>
    <row r="52" spans="1:4" s="9" customFormat="1" ht="12">
      <c r="A52" s="37" t="s">
        <v>177</v>
      </c>
      <c r="B52" s="55">
        <f>C18+C22</f>
        <v>1225100</v>
      </c>
      <c r="C52" s="55">
        <f>B52*3%</f>
        <v>36753</v>
      </c>
      <c r="D52" s="55">
        <f>ROUND(C52/1000,0)</f>
        <v>37</v>
      </c>
    </row>
    <row r="53" spans="2:4" ht="12">
      <c r="B53" s="55"/>
      <c r="C53" s="55"/>
      <c r="D53" s="55"/>
    </row>
    <row r="54" spans="1:4" ht="12">
      <c r="A54" s="37" t="s">
        <v>841</v>
      </c>
      <c r="B54" s="55"/>
      <c r="C54" s="55"/>
      <c r="D54" s="55"/>
    </row>
    <row r="55" spans="1:4" ht="12">
      <c r="A55" s="37" t="s">
        <v>842</v>
      </c>
      <c r="B55" s="55">
        <v>1</v>
      </c>
      <c r="C55" s="55"/>
      <c r="D55" s="55"/>
    </row>
    <row r="56" spans="1:4" ht="12">
      <c r="A56" s="37" t="s">
        <v>1228</v>
      </c>
      <c r="B56" s="55">
        <v>1950</v>
      </c>
      <c r="C56" s="55">
        <f>B55*B56*12</f>
        <v>23400</v>
      </c>
      <c r="D56" s="55"/>
    </row>
    <row r="57" spans="1:4" ht="12">
      <c r="A57" s="37" t="s">
        <v>841</v>
      </c>
      <c r="B57" s="55"/>
      <c r="C57" s="55">
        <f>C56</f>
        <v>23400</v>
      </c>
      <c r="D57" s="55">
        <f>ROUND(C57/1000,0)</f>
        <v>23</v>
      </c>
    </row>
    <row r="59" spans="1:4" ht="12">
      <c r="A59" s="61" t="s">
        <v>1276</v>
      </c>
      <c r="B59" s="61"/>
      <c r="C59" s="226">
        <f>C44+C46+C48+C52+C57</f>
        <v>415432</v>
      </c>
      <c r="D59" s="226">
        <f>D44+D46+D48+D52+D57</f>
        <v>415</v>
      </c>
    </row>
    <row r="60" spans="1:4" s="9" customFormat="1" ht="12">
      <c r="A60" s="37"/>
      <c r="B60" s="37"/>
      <c r="C60" s="37"/>
      <c r="D60" s="37"/>
    </row>
    <row r="61" ht="12">
      <c r="A61" s="61" t="s">
        <v>1278</v>
      </c>
    </row>
    <row r="63" spans="1:3" ht="12">
      <c r="A63" s="9" t="s">
        <v>1279</v>
      </c>
      <c r="B63" s="13" t="s">
        <v>1196</v>
      </c>
      <c r="C63" s="63" t="s">
        <v>1197</v>
      </c>
    </row>
    <row r="64" spans="1:4" ht="12">
      <c r="A64" s="37" t="s">
        <v>1289</v>
      </c>
      <c r="B64" s="13"/>
      <c r="C64" s="55">
        <v>5000</v>
      </c>
      <c r="D64" s="55">
        <f>ROUND(C64/1000,0)</f>
        <v>5</v>
      </c>
    </row>
    <row r="65" spans="1:4" ht="12">
      <c r="A65" s="37" t="s">
        <v>948</v>
      </c>
      <c r="B65" s="13"/>
      <c r="C65" s="55"/>
      <c r="D65" s="55">
        <f>ROUND(C65/1000,0)</f>
        <v>0</v>
      </c>
    </row>
    <row r="66" spans="1:4" ht="12">
      <c r="A66" s="37" t="s">
        <v>949</v>
      </c>
      <c r="B66" s="13"/>
      <c r="C66" s="55">
        <v>5000</v>
      </c>
      <c r="D66" s="55">
        <f>ROUND(C66/1000,0)</f>
        <v>5</v>
      </c>
    </row>
    <row r="67" spans="1:4" ht="12">
      <c r="A67" s="37" t="s">
        <v>1290</v>
      </c>
      <c r="B67" s="13"/>
      <c r="C67" s="55"/>
      <c r="D67" s="55">
        <f>ROUND(C67/1000,0)</f>
        <v>0</v>
      </c>
    </row>
    <row r="68" spans="1:4" ht="12">
      <c r="A68" s="37" t="s">
        <v>1291</v>
      </c>
      <c r="B68" s="13"/>
      <c r="C68" s="55">
        <v>50000</v>
      </c>
      <c r="D68" s="55">
        <f>ROUND(C68/1000,0)</f>
        <v>50</v>
      </c>
    </row>
    <row r="69" spans="1:4" ht="12">
      <c r="A69" s="9" t="s">
        <v>1280</v>
      </c>
      <c r="B69" s="13">
        <f>SUM(B64:B68)</f>
        <v>0</v>
      </c>
      <c r="C69" s="243">
        <f>SUM(C64:C68)</f>
        <v>60000</v>
      </c>
      <c r="D69" s="243">
        <f>SUM(D64:D68)</f>
        <v>60</v>
      </c>
    </row>
    <row r="70" spans="1:4" s="9" customFormat="1" ht="12">
      <c r="A70" s="37"/>
      <c r="B70" s="16"/>
      <c r="C70" s="55"/>
      <c r="D70" s="55"/>
    </row>
    <row r="71" spans="1:4" ht="12">
      <c r="A71" s="9" t="s">
        <v>847</v>
      </c>
      <c r="B71" s="16"/>
      <c r="C71" s="55"/>
      <c r="D71" s="55"/>
    </row>
    <row r="72" spans="1:4" s="61" customFormat="1" ht="12">
      <c r="A72" s="37" t="s">
        <v>1571</v>
      </c>
      <c r="B72" s="13">
        <v>161625</v>
      </c>
      <c r="C72" s="55">
        <v>350000</v>
      </c>
      <c r="D72" s="55">
        <f aca="true" t="shared" si="0" ref="D72:D79">ROUND(C72/1000,0)</f>
        <v>350</v>
      </c>
    </row>
    <row r="73" spans="1:4" ht="12">
      <c r="A73" s="37" t="s">
        <v>1292</v>
      </c>
      <c r="B73" s="13">
        <v>0</v>
      </c>
      <c r="C73" s="55"/>
      <c r="D73" s="55">
        <f t="shared" si="0"/>
        <v>0</v>
      </c>
    </row>
    <row r="74" spans="1:4" s="145" customFormat="1" ht="12">
      <c r="A74" s="37" t="s">
        <v>439</v>
      </c>
      <c r="B74" s="13">
        <v>1243165</v>
      </c>
      <c r="C74" s="55">
        <v>1500000</v>
      </c>
      <c r="D74" s="55">
        <f t="shared" si="0"/>
        <v>1500</v>
      </c>
    </row>
    <row r="75" spans="1:4" s="145" customFormat="1" ht="12">
      <c r="A75" s="37" t="s">
        <v>440</v>
      </c>
      <c r="B75" s="13">
        <v>808741</v>
      </c>
      <c r="C75" s="55">
        <v>800000</v>
      </c>
      <c r="D75" s="55">
        <f t="shared" si="0"/>
        <v>800</v>
      </c>
    </row>
    <row r="76" spans="1:4" s="145" customFormat="1" ht="12">
      <c r="A76" s="37" t="s">
        <v>441</v>
      </c>
      <c r="B76" s="13">
        <v>59214</v>
      </c>
      <c r="C76" s="55">
        <v>100000</v>
      </c>
      <c r="D76" s="55">
        <f t="shared" si="0"/>
        <v>100</v>
      </c>
    </row>
    <row r="77" spans="1:4" s="145" customFormat="1" ht="12">
      <c r="A77" s="37" t="s">
        <v>442</v>
      </c>
      <c r="B77" s="13">
        <v>78309</v>
      </c>
      <c r="C77" s="55">
        <v>100000</v>
      </c>
      <c r="D77" s="55">
        <f t="shared" si="0"/>
        <v>100</v>
      </c>
    </row>
    <row r="78" spans="1:4" s="9" customFormat="1" ht="12">
      <c r="A78" s="37" t="s">
        <v>443</v>
      </c>
      <c r="B78" s="13">
        <v>0</v>
      </c>
      <c r="C78" s="55">
        <v>5000</v>
      </c>
      <c r="D78" s="55">
        <f t="shared" si="0"/>
        <v>5</v>
      </c>
    </row>
    <row r="79" spans="1:4" s="9" customFormat="1" ht="12">
      <c r="A79" s="37" t="s">
        <v>1033</v>
      </c>
      <c r="B79" s="13"/>
      <c r="C79" s="55">
        <v>25000</v>
      </c>
      <c r="D79" s="55">
        <f t="shared" si="0"/>
        <v>25</v>
      </c>
    </row>
    <row r="80" spans="1:4" s="9" customFormat="1" ht="12">
      <c r="A80" s="9" t="s">
        <v>850</v>
      </c>
      <c r="B80" s="243">
        <f>SUM(B72:B78)</f>
        <v>2351054</v>
      </c>
      <c r="C80" s="243">
        <f>SUM(C72:C79)</f>
        <v>2880000</v>
      </c>
      <c r="D80" s="243">
        <f>SUM(D72:D79)</f>
        <v>2880</v>
      </c>
    </row>
    <row r="81" spans="1:4" s="145" customFormat="1" ht="12">
      <c r="A81" s="37"/>
      <c r="B81" s="55"/>
      <c r="C81" s="55"/>
      <c r="D81" s="55"/>
    </row>
    <row r="82" spans="2:4" ht="12">
      <c r="B82" s="55"/>
      <c r="C82" s="55"/>
      <c r="D82" s="55"/>
    </row>
    <row r="83" spans="1:4" ht="12">
      <c r="A83" s="9" t="s">
        <v>303</v>
      </c>
      <c r="B83" s="55"/>
      <c r="C83" s="55"/>
      <c r="D83" s="55"/>
    </row>
    <row r="84" spans="1:4" ht="12">
      <c r="A84" s="37" t="s">
        <v>444</v>
      </c>
      <c r="B84" s="14" t="s">
        <v>853</v>
      </c>
      <c r="C84" s="14" t="s">
        <v>854</v>
      </c>
      <c r="D84" s="55"/>
    </row>
    <row r="85" spans="1:4" ht="12">
      <c r="A85" s="37" t="s">
        <v>1511</v>
      </c>
      <c r="B85" s="55"/>
      <c r="C85" s="55">
        <f>B85*15%</f>
        <v>0</v>
      </c>
      <c r="D85" s="55"/>
    </row>
    <row r="86" spans="1:4" ht="12">
      <c r="A86" s="37" t="s">
        <v>1512</v>
      </c>
      <c r="B86" s="55">
        <f>C69+C80</f>
        <v>2940000</v>
      </c>
      <c r="C86" s="55">
        <f>B86*20%</f>
        <v>588000</v>
      </c>
      <c r="D86" s="55"/>
    </row>
    <row r="87" spans="1:4" ht="12">
      <c r="A87" s="37" t="s">
        <v>445</v>
      </c>
      <c r="B87" s="55">
        <f>SUM(B85:B86)</f>
        <v>2940000</v>
      </c>
      <c r="C87" s="55">
        <f>SUM(C85:C86)</f>
        <v>588000</v>
      </c>
      <c r="D87" s="55">
        <f>ROUND(C87/1000,0)</f>
        <v>588</v>
      </c>
    </row>
    <row r="88" spans="2:4" ht="12">
      <c r="B88" s="55"/>
      <c r="C88" s="55"/>
      <c r="D88" s="55"/>
    </row>
    <row r="89" spans="1:4" ht="12">
      <c r="A89" s="9" t="s">
        <v>303</v>
      </c>
      <c r="B89" s="243"/>
      <c r="C89" s="243">
        <f>SUM(C87:C88)</f>
        <v>588000</v>
      </c>
      <c r="D89" s="243">
        <f>SUM(D87:D88)</f>
        <v>588</v>
      </c>
    </row>
    <row r="90" spans="2:4" ht="12">
      <c r="B90" s="55"/>
      <c r="C90" s="55"/>
      <c r="D90" s="55"/>
    </row>
    <row r="91" spans="1:4" ht="12">
      <c r="A91" s="61" t="s">
        <v>304</v>
      </c>
      <c r="B91" s="226"/>
      <c r="C91" s="226">
        <f>C69+C80+C89</f>
        <v>3528000</v>
      </c>
      <c r="D91" s="226">
        <f>D69+D80+D89</f>
        <v>3528</v>
      </c>
    </row>
    <row r="92" spans="1:4" ht="12">
      <c r="A92" s="61"/>
      <c r="B92" s="55"/>
      <c r="C92" s="55"/>
      <c r="D92" s="55"/>
    </row>
    <row r="93" spans="1:4" ht="12">
      <c r="A93" s="61" t="s">
        <v>1513</v>
      </c>
      <c r="B93" s="241"/>
      <c r="C93" s="226">
        <f>C40+C59+C91</f>
        <v>5312532</v>
      </c>
      <c r="D93" s="226">
        <f>D40+D59+D91</f>
        <v>5312</v>
      </c>
    </row>
    <row r="94" spans="1:4" ht="12">
      <c r="A94" s="61"/>
      <c r="B94" s="241"/>
      <c r="C94" s="226"/>
      <c r="D94" s="226"/>
    </row>
    <row r="95" spans="1:4" ht="12">
      <c r="A95" s="61" t="s">
        <v>1514</v>
      </c>
      <c r="B95" s="241"/>
      <c r="C95" s="226"/>
      <c r="D95" s="226"/>
    </row>
    <row r="96" spans="1:4" ht="12">
      <c r="A96" s="61"/>
      <c r="B96" s="241"/>
      <c r="C96" s="226"/>
      <c r="D96" s="226"/>
    </row>
    <row r="97" spans="2:4" ht="12">
      <c r="B97" s="243"/>
      <c r="C97" s="55"/>
      <c r="D97" s="55"/>
    </row>
    <row r="98" spans="2:4" ht="12">
      <c r="B98" s="243"/>
      <c r="C98" s="55"/>
      <c r="D98" s="55"/>
    </row>
    <row r="99" spans="1:4" ht="12">
      <c r="A99" s="61" t="s">
        <v>1516</v>
      </c>
      <c r="B99" s="241"/>
      <c r="C99" s="226">
        <f>SUM(C97:C98)</f>
        <v>0</v>
      </c>
      <c r="D99" s="226">
        <f>SUM(D97:D98)</f>
        <v>0</v>
      </c>
    </row>
    <row r="100" spans="2:4" ht="12">
      <c r="B100" s="55"/>
      <c r="C100" s="55"/>
      <c r="D100" s="55"/>
    </row>
    <row r="101" spans="1:4" ht="12">
      <c r="A101" s="145" t="s">
        <v>1281</v>
      </c>
      <c r="C101" s="267">
        <f>C93+C99</f>
        <v>5312532</v>
      </c>
      <c r="D101" s="267">
        <f>D93+D99</f>
        <v>5312</v>
      </c>
    </row>
    <row r="103" ht="12">
      <c r="A103" s="61" t="s">
        <v>1034</v>
      </c>
    </row>
    <row r="105" spans="1:4" ht="36.75" customHeight="1">
      <c r="A105" s="317" t="s">
        <v>1028</v>
      </c>
      <c r="B105" s="317"/>
      <c r="C105" s="317"/>
      <c r="D105" s="317"/>
    </row>
    <row r="107" ht="12">
      <c r="A107" s="37" t="s">
        <v>1282</v>
      </c>
    </row>
    <row r="108" ht="12">
      <c r="A108" s="37" t="s">
        <v>1283</v>
      </c>
    </row>
    <row r="110" ht="12">
      <c r="A110" s="61" t="s">
        <v>1278</v>
      </c>
    </row>
    <row r="112" spans="1:3" ht="12">
      <c r="A112" s="9" t="s">
        <v>1279</v>
      </c>
      <c r="B112" s="13" t="s">
        <v>1196</v>
      </c>
      <c r="C112" s="63" t="s">
        <v>1197</v>
      </c>
    </row>
    <row r="113" spans="1:4" ht="12">
      <c r="A113" s="37" t="s">
        <v>1289</v>
      </c>
      <c r="B113" s="13"/>
      <c r="C113" s="55">
        <v>5000</v>
      </c>
      <c r="D113" s="55">
        <f>ROUND(C113/1000,0)</f>
        <v>5</v>
      </c>
    </row>
    <row r="114" spans="1:4" ht="12">
      <c r="A114" s="37" t="s">
        <v>948</v>
      </c>
      <c r="B114" s="13"/>
      <c r="C114" s="55"/>
      <c r="D114" s="55">
        <f>ROUND(C114/1000,0)</f>
        <v>0</v>
      </c>
    </row>
    <row r="115" spans="1:4" ht="12">
      <c r="A115" s="37" t="s">
        <v>949</v>
      </c>
      <c r="B115" s="13"/>
      <c r="C115" s="55">
        <v>5000</v>
      </c>
      <c r="D115" s="55">
        <f>ROUND(C115/1000,0)</f>
        <v>5</v>
      </c>
    </row>
    <row r="116" spans="1:4" ht="12">
      <c r="A116" s="37" t="s">
        <v>1290</v>
      </c>
      <c r="B116" s="13"/>
      <c r="C116" s="55"/>
      <c r="D116" s="55">
        <f>ROUND(C116/1000,0)</f>
        <v>0</v>
      </c>
    </row>
    <row r="117" spans="1:4" ht="12">
      <c r="A117" s="37" t="s">
        <v>1291</v>
      </c>
      <c r="B117" s="13"/>
      <c r="C117" s="55">
        <v>50000</v>
      </c>
      <c r="D117" s="55">
        <f>ROUND(C117/1000,0)</f>
        <v>50</v>
      </c>
    </row>
    <row r="118" spans="1:4" ht="12">
      <c r="A118" s="9" t="s">
        <v>1280</v>
      </c>
      <c r="B118" s="13">
        <f>SUM(B113:B117)</f>
        <v>0</v>
      </c>
      <c r="C118" s="243">
        <f>SUM(C113:C117)</f>
        <v>60000</v>
      </c>
      <c r="D118" s="243">
        <f>SUM(D113:D117)</f>
        <v>60</v>
      </c>
    </row>
    <row r="119" spans="2:4" ht="12">
      <c r="B119" s="16"/>
      <c r="C119" s="55"/>
      <c r="D119" s="55"/>
    </row>
    <row r="120" spans="1:4" ht="12">
      <c r="A120" s="9" t="s">
        <v>847</v>
      </c>
      <c r="B120" s="16"/>
      <c r="C120" s="55"/>
      <c r="D120" s="55"/>
    </row>
    <row r="121" spans="1:4" ht="12">
      <c r="A121" s="37" t="s">
        <v>1571</v>
      </c>
      <c r="B121" s="13">
        <v>283666</v>
      </c>
      <c r="C121" s="55">
        <v>65000</v>
      </c>
      <c r="D121" s="55">
        <f aca="true" t="shared" si="1" ref="D121:D128">ROUND(C121/1000,0)</f>
        <v>65</v>
      </c>
    </row>
    <row r="122" spans="1:4" ht="12">
      <c r="A122" s="37" t="s">
        <v>1292</v>
      </c>
      <c r="B122" s="13">
        <v>0</v>
      </c>
      <c r="C122" s="55"/>
      <c r="D122" s="55">
        <f t="shared" si="1"/>
        <v>0</v>
      </c>
    </row>
    <row r="123" spans="1:4" ht="12">
      <c r="A123" s="37" t="s">
        <v>439</v>
      </c>
      <c r="B123" s="13">
        <v>393971</v>
      </c>
      <c r="C123" s="55">
        <v>400000</v>
      </c>
      <c r="D123" s="55">
        <f t="shared" si="1"/>
        <v>400</v>
      </c>
    </row>
    <row r="124" spans="1:4" ht="12">
      <c r="A124" s="37" t="s">
        <v>440</v>
      </c>
      <c r="B124" s="13">
        <v>348280</v>
      </c>
      <c r="C124" s="55">
        <v>400000</v>
      </c>
      <c r="D124" s="55">
        <f t="shared" si="1"/>
        <v>400</v>
      </c>
    </row>
    <row r="125" spans="1:4" ht="12">
      <c r="A125" s="37" t="s">
        <v>441</v>
      </c>
      <c r="B125" s="13">
        <v>50040</v>
      </c>
      <c r="C125" s="55">
        <v>30000</v>
      </c>
      <c r="D125" s="55">
        <f t="shared" si="1"/>
        <v>30</v>
      </c>
    </row>
    <row r="126" spans="1:4" ht="12">
      <c r="A126" s="37" t="s">
        <v>442</v>
      </c>
      <c r="B126" s="13">
        <v>24360</v>
      </c>
      <c r="C126" s="55">
        <v>25000</v>
      </c>
      <c r="D126" s="55">
        <f t="shared" si="1"/>
        <v>25</v>
      </c>
    </row>
    <row r="127" spans="1:4" ht="12">
      <c r="A127" s="37" t="s">
        <v>443</v>
      </c>
      <c r="B127" s="13">
        <v>5820</v>
      </c>
      <c r="C127" s="55">
        <v>5000</v>
      </c>
      <c r="D127" s="55">
        <f t="shared" si="1"/>
        <v>5</v>
      </c>
    </row>
    <row r="128" spans="1:4" ht="12">
      <c r="A128" s="37" t="s">
        <v>1033</v>
      </c>
      <c r="B128" s="13">
        <v>3000</v>
      </c>
      <c r="C128" s="55">
        <v>5000</v>
      </c>
      <c r="D128" s="55">
        <f t="shared" si="1"/>
        <v>5</v>
      </c>
    </row>
    <row r="129" spans="1:4" ht="12">
      <c r="A129" s="9" t="s">
        <v>850</v>
      </c>
      <c r="B129" s="243">
        <f>SUM(B121:B127)</f>
        <v>1106137</v>
      </c>
      <c r="C129" s="243">
        <f>SUM(C121:C128)</f>
        <v>930000</v>
      </c>
      <c r="D129" s="243">
        <f>SUM(D121:D128)</f>
        <v>930</v>
      </c>
    </row>
    <row r="130" spans="2:4" ht="12">
      <c r="B130" s="55"/>
      <c r="C130" s="55"/>
      <c r="D130" s="55"/>
    </row>
    <row r="131" spans="2:4" ht="12">
      <c r="B131" s="55"/>
      <c r="C131" s="55"/>
      <c r="D131" s="55"/>
    </row>
    <row r="132" spans="1:4" ht="12">
      <c r="A132" s="9" t="s">
        <v>303</v>
      </c>
      <c r="B132" s="55"/>
      <c r="C132" s="55"/>
      <c r="D132" s="55"/>
    </row>
    <row r="133" spans="1:4" ht="12">
      <c r="A133" s="37" t="s">
        <v>444</v>
      </c>
      <c r="B133" s="14" t="s">
        <v>853</v>
      </c>
      <c r="C133" s="14" t="s">
        <v>854</v>
      </c>
      <c r="D133" s="55"/>
    </row>
    <row r="134" spans="1:4" ht="12">
      <c r="A134" s="37" t="s">
        <v>1511</v>
      </c>
      <c r="B134" s="55"/>
      <c r="C134" s="55">
        <f>B134*15%</f>
        <v>0</v>
      </c>
      <c r="D134" s="55"/>
    </row>
    <row r="135" spans="1:4" ht="12">
      <c r="A135" s="37" t="s">
        <v>1512</v>
      </c>
      <c r="B135" s="55">
        <f>C118+C129</f>
        <v>990000</v>
      </c>
      <c r="C135" s="55">
        <f>B135*20%</f>
        <v>198000</v>
      </c>
      <c r="D135" s="55"/>
    </row>
    <row r="136" spans="1:4" ht="12">
      <c r="A136" s="37" t="s">
        <v>445</v>
      </c>
      <c r="B136" s="55">
        <f>SUM(B134:B135)</f>
        <v>990000</v>
      </c>
      <c r="C136" s="55">
        <f>SUM(C134:C135)</f>
        <v>198000</v>
      </c>
      <c r="D136" s="55">
        <f>ROUND(C136/1000,0)</f>
        <v>198</v>
      </c>
    </row>
    <row r="137" spans="2:4" ht="12">
      <c r="B137" s="55"/>
      <c r="C137" s="55"/>
      <c r="D137" s="55"/>
    </row>
    <row r="138" spans="1:4" ht="12">
      <c r="A138" s="9" t="s">
        <v>303</v>
      </c>
      <c r="B138" s="243"/>
      <c r="C138" s="243">
        <f>SUM(C136:C137)</f>
        <v>198000</v>
      </c>
      <c r="D138" s="243">
        <f>SUM(D136:D137)</f>
        <v>198</v>
      </c>
    </row>
    <row r="139" spans="2:4" ht="12">
      <c r="B139" s="55"/>
      <c r="C139" s="55"/>
      <c r="D139" s="55"/>
    </row>
    <row r="140" spans="1:4" ht="12">
      <c r="A140" s="61" t="s">
        <v>304</v>
      </c>
      <c r="B140" s="226"/>
      <c r="C140" s="226">
        <f>C118+C129+C138</f>
        <v>1188000</v>
      </c>
      <c r="D140" s="226">
        <f>D118+D129+D138</f>
        <v>1188</v>
      </c>
    </row>
    <row r="141" spans="1:4" ht="12">
      <c r="A141" s="61"/>
      <c r="B141" s="55"/>
      <c r="C141" s="55"/>
      <c r="D141" s="55"/>
    </row>
    <row r="142" spans="1:4" ht="12">
      <c r="A142" s="61" t="s">
        <v>1513</v>
      </c>
      <c r="B142" s="241"/>
      <c r="C142" s="226">
        <f>C140</f>
        <v>1188000</v>
      </c>
      <c r="D142" s="226">
        <f>D140</f>
        <v>1188</v>
      </c>
    </row>
    <row r="143" spans="1:4" ht="12">
      <c r="A143" s="61"/>
      <c r="B143" s="241"/>
      <c r="C143" s="226"/>
      <c r="D143" s="226"/>
    </row>
    <row r="144" spans="1:4" ht="12">
      <c r="A144" s="61" t="s">
        <v>1514</v>
      </c>
      <c r="B144" s="241"/>
      <c r="C144" s="226"/>
      <c r="D144" s="226"/>
    </row>
    <row r="145" spans="1:4" ht="12">
      <c r="A145" s="61"/>
      <c r="B145" s="241"/>
      <c r="C145" s="226"/>
      <c r="D145" s="226"/>
    </row>
    <row r="146" spans="2:4" ht="12">
      <c r="B146" s="243"/>
      <c r="C146" s="55"/>
      <c r="D146" s="55"/>
    </row>
    <row r="147" spans="2:4" ht="12">
      <c r="B147" s="243"/>
      <c r="C147" s="55"/>
      <c r="D147" s="55"/>
    </row>
    <row r="148" spans="1:4" ht="12">
      <c r="A148" s="61" t="s">
        <v>1516</v>
      </c>
      <c r="B148" s="241"/>
      <c r="C148" s="226">
        <f>SUM(C146:C147)</f>
        <v>0</v>
      </c>
      <c r="D148" s="226">
        <f>SUM(D146:D147)</f>
        <v>0</v>
      </c>
    </row>
    <row r="149" spans="2:4" ht="12">
      <c r="B149" s="55"/>
      <c r="C149" s="55"/>
      <c r="D149" s="55"/>
    </row>
    <row r="150" spans="1:4" ht="12">
      <c r="A150" s="145" t="s">
        <v>1281</v>
      </c>
      <c r="C150" s="267">
        <f>C142+C148</f>
        <v>1188000</v>
      </c>
      <c r="D150" s="267">
        <f>D142+D148</f>
        <v>1188</v>
      </c>
    </row>
  </sheetData>
  <mergeCells count="2">
    <mergeCell ref="A4:D4"/>
    <mergeCell ref="A105:D105"/>
  </mergeCells>
  <printOptions horizontalCentered="1"/>
  <pageMargins left="0.7874015748031497" right="0.7874015748031497" top="0.7874015748031497" bottom="0.6299212598425197" header="0.2362204724409449" footer="0.2755905511811024"/>
  <pageSetup horizontalDpi="600" verticalDpi="600" orientation="portrait" paperSize="9" r:id="rId1"/>
  <headerFooter alignWithMargins="0">
    <oddHeader>&amp;C
&amp;"Arial,Félkövér dőlt"&amp;11TISZAGYULAHÁZA KÖZSÉG 2005.ÉVI KÖLTSÉGVETÉSE&amp;R&amp;"Arial,Dőlt"&amp;8Iskola</oddHeader>
    <oddFooter>&amp;C&amp;"Arial,Dőlt"&amp;8&amp;P. oldal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05"/>
  <sheetViews>
    <sheetView workbookViewId="0" topLeftCell="A196">
      <selection activeCell="B194" sqref="B194:C194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145" t="s">
        <v>472</v>
      </c>
    </row>
    <row r="3" spans="1:4" ht="28.5" customHeight="1">
      <c r="A3" s="317" t="s">
        <v>566</v>
      </c>
      <c r="B3" s="318"/>
      <c r="C3" s="318"/>
      <c r="D3" s="318"/>
    </row>
    <row r="5" ht="12">
      <c r="A5" s="37" t="s">
        <v>795</v>
      </c>
    </row>
    <row r="6" ht="12">
      <c r="A6" s="37" t="s">
        <v>796</v>
      </c>
    </row>
    <row r="8" ht="12">
      <c r="A8" s="9" t="s">
        <v>567</v>
      </c>
    </row>
    <row r="10" spans="1:2" ht="12">
      <c r="A10" s="37" t="s">
        <v>847</v>
      </c>
      <c r="B10" s="37"/>
    </row>
    <row r="11" spans="1:3" ht="12">
      <c r="A11" s="37" t="s">
        <v>583</v>
      </c>
      <c r="B11" s="13" t="s">
        <v>1196</v>
      </c>
      <c r="C11" s="63" t="s">
        <v>1197</v>
      </c>
    </row>
    <row r="12" spans="1:4" ht="12">
      <c r="A12" s="37" t="s">
        <v>584</v>
      </c>
      <c r="B12" s="247">
        <v>0</v>
      </c>
      <c r="D12" s="55">
        <f>ROUND(C12/1000,0)</f>
        <v>0</v>
      </c>
    </row>
    <row r="14" spans="1:3" ht="12">
      <c r="A14" s="37" t="s">
        <v>585</v>
      </c>
      <c r="B14" s="14" t="s">
        <v>755</v>
      </c>
      <c r="C14" s="14" t="s">
        <v>854</v>
      </c>
    </row>
    <row r="15" spans="1:4" ht="12">
      <c r="A15" s="37" t="s">
        <v>800</v>
      </c>
      <c r="B15" s="55">
        <f>C12</f>
        <v>0</v>
      </c>
      <c r="C15" s="55">
        <f>B15*25%</f>
        <v>0</v>
      </c>
      <c r="D15" s="55">
        <f>ROUND(C15/1000,0)</f>
        <v>0</v>
      </c>
    </row>
    <row r="17" spans="1:4" ht="12">
      <c r="A17" s="9" t="s">
        <v>1278</v>
      </c>
      <c r="C17" s="55">
        <f>C12+C15</f>
        <v>0</v>
      </c>
      <c r="D17" s="55">
        <f>D12+D15</f>
        <v>0</v>
      </c>
    </row>
    <row r="19" spans="1:4" s="145" customFormat="1" ht="12">
      <c r="A19" s="145" t="s">
        <v>586</v>
      </c>
      <c r="B19" s="241"/>
      <c r="C19" s="241">
        <f>C17</f>
        <v>0</v>
      </c>
      <c r="D19" s="241">
        <f>D17</f>
        <v>0</v>
      </c>
    </row>
    <row r="22" ht="12">
      <c r="A22" s="61" t="s">
        <v>413</v>
      </c>
    </row>
    <row r="24" spans="1:4" ht="39.75" customHeight="1">
      <c r="A24" s="317" t="s">
        <v>181</v>
      </c>
      <c r="B24" s="318"/>
      <c r="C24" s="318"/>
      <c r="D24" s="318"/>
    </row>
    <row r="26" ht="12">
      <c r="A26" s="37" t="s">
        <v>795</v>
      </c>
    </row>
    <row r="27" ht="12">
      <c r="A27" s="37" t="s">
        <v>415</v>
      </c>
    </row>
    <row r="29" ht="12">
      <c r="A29" s="9" t="s">
        <v>162</v>
      </c>
    </row>
    <row r="30" spans="2:3" ht="12">
      <c r="B30" s="63" t="s">
        <v>160</v>
      </c>
      <c r="C30" s="63" t="s">
        <v>161</v>
      </c>
    </row>
    <row r="31" spans="1:3" ht="12">
      <c r="A31" s="37" t="s">
        <v>801</v>
      </c>
      <c r="B31" s="55">
        <f>hil!$D$23</f>
        <v>84000</v>
      </c>
      <c r="C31" s="55">
        <f>B31*12</f>
        <v>1008000</v>
      </c>
    </row>
    <row r="32" spans="1:4" ht="12">
      <c r="A32" s="37" t="s">
        <v>487</v>
      </c>
      <c r="C32" s="55">
        <f>SUM(C31:C31)</f>
        <v>1008000</v>
      </c>
      <c r="D32" s="55">
        <f>ROUND(C32/1000,0)</f>
        <v>1008</v>
      </c>
    </row>
    <row r="34" ht="12">
      <c r="A34" s="9" t="s">
        <v>163</v>
      </c>
    </row>
    <row r="35" ht="12">
      <c r="A35" s="37" t="s">
        <v>164</v>
      </c>
    </row>
    <row r="36" spans="1:4" ht="12">
      <c r="A36" s="37" t="s">
        <v>794</v>
      </c>
      <c r="C36" s="55">
        <f>hil!D23</f>
        <v>84000</v>
      </c>
      <c r="D36" s="55">
        <f>ROUND(C36/1000,0)</f>
        <v>84</v>
      </c>
    </row>
    <row r="37" ht="12">
      <c r="A37" s="37" t="s">
        <v>1068</v>
      </c>
    </row>
    <row r="38" ht="12">
      <c r="A38" s="37" t="s">
        <v>170</v>
      </c>
    </row>
    <row r="39" spans="1:2" ht="12">
      <c r="A39" s="37" t="s">
        <v>1069</v>
      </c>
      <c r="B39" s="55">
        <v>1</v>
      </c>
    </row>
    <row r="40" spans="1:2" ht="12">
      <c r="A40" s="37" t="s">
        <v>1070</v>
      </c>
      <c r="B40" s="55">
        <v>12000</v>
      </c>
    </row>
    <row r="41" spans="1:4" ht="12">
      <c r="A41" s="37" t="s">
        <v>170</v>
      </c>
      <c r="C41" s="55">
        <f>B39*B40*12</f>
        <v>144000</v>
      </c>
      <c r="D41" s="55">
        <f>ROUND(C41/1000,0)</f>
        <v>144</v>
      </c>
    </row>
    <row r="42" spans="1:4" ht="12">
      <c r="A42" s="9" t="s">
        <v>163</v>
      </c>
      <c r="C42" s="55">
        <f>SUM(C41)</f>
        <v>144000</v>
      </c>
      <c r="D42" s="55">
        <f>SUM(D41)</f>
        <v>144</v>
      </c>
    </row>
    <row r="44" spans="1:2" ht="12">
      <c r="A44" s="37" t="s">
        <v>587</v>
      </c>
      <c r="B44" s="13" t="s">
        <v>1196</v>
      </c>
    </row>
    <row r="45" spans="1:4" s="9" customFormat="1" ht="12">
      <c r="A45" s="37" t="s">
        <v>588</v>
      </c>
      <c r="B45" s="13">
        <v>71000</v>
      </c>
      <c r="C45" s="55">
        <v>70000</v>
      </c>
      <c r="D45" s="55"/>
    </row>
    <row r="46" spans="1:4" s="9" customFormat="1" ht="12">
      <c r="A46" s="37" t="s">
        <v>587</v>
      </c>
      <c r="B46" s="55"/>
      <c r="C46" s="55">
        <f>SUM(C45)</f>
        <v>70000</v>
      </c>
      <c r="D46" s="55">
        <f>ROUND(C46/1000,0)</f>
        <v>70</v>
      </c>
    </row>
    <row r="47" spans="1:4" ht="12">
      <c r="A47" s="9" t="s">
        <v>805</v>
      </c>
      <c r="B47" s="243"/>
      <c r="C47" s="243">
        <f>C46</f>
        <v>70000</v>
      </c>
      <c r="D47" s="243">
        <f>D46</f>
        <v>70</v>
      </c>
    </row>
    <row r="48" spans="1:4" ht="12">
      <c r="A48" s="9" t="s">
        <v>1275</v>
      </c>
      <c r="B48" s="243"/>
      <c r="C48" s="243">
        <f>C32+C36+C42+C47</f>
        <v>1306000</v>
      </c>
      <c r="D48" s="243">
        <f>D32+D36+D42+D47</f>
        <v>1306</v>
      </c>
    </row>
    <row r="49" spans="1:4" ht="12">
      <c r="A49" s="9"/>
      <c r="B49" s="243"/>
      <c r="C49" s="243"/>
      <c r="D49" s="243"/>
    </row>
    <row r="50" ht="12">
      <c r="A50" s="9" t="s">
        <v>1276</v>
      </c>
    </row>
    <row r="51" spans="1:3" ht="12">
      <c r="A51" s="37" t="s">
        <v>1277</v>
      </c>
      <c r="B51" s="63" t="s">
        <v>175</v>
      </c>
      <c r="C51" s="63" t="s">
        <v>1129</v>
      </c>
    </row>
    <row r="52" spans="1:4" ht="12">
      <c r="A52" s="37" t="s">
        <v>1130</v>
      </c>
      <c r="B52" s="55">
        <f>C32+C36+C47</f>
        <v>1162000</v>
      </c>
      <c r="C52" s="55">
        <f>B52*24%</f>
        <v>278880</v>
      </c>
      <c r="D52" s="55">
        <f>ROUND(C52/1000,0)</f>
        <v>279</v>
      </c>
    </row>
    <row r="53" spans="2:3" ht="12">
      <c r="B53" s="63" t="s">
        <v>175</v>
      </c>
      <c r="C53" s="63" t="s">
        <v>1131</v>
      </c>
    </row>
    <row r="54" spans="1:4" ht="12">
      <c r="A54" s="37" t="s">
        <v>1132</v>
      </c>
      <c r="B54" s="55">
        <f>C32+C36+C47</f>
        <v>1162000</v>
      </c>
      <c r="C54" s="55">
        <f>B54*4.5%</f>
        <v>52290</v>
      </c>
      <c r="D54" s="55">
        <f>ROUND(C54/1000,0)</f>
        <v>52</v>
      </c>
    </row>
    <row r="55" spans="2:3" ht="12">
      <c r="B55" s="63" t="s">
        <v>175</v>
      </c>
      <c r="C55" s="63" t="s">
        <v>1134</v>
      </c>
    </row>
    <row r="56" spans="1:4" ht="12">
      <c r="A56" s="37" t="s">
        <v>1133</v>
      </c>
      <c r="B56" s="55">
        <f>C32+C36+C47</f>
        <v>1162000</v>
      </c>
      <c r="C56" s="55">
        <f>B56*0.5%</f>
        <v>5810</v>
      </c>
      <c r="D56" s="55">
        <f>ROUND(C56/1000,0)</f>
        <v>6</v>
      </c>
    </row>
    <row r="57" spans="1:4" ht="12">
      <c r="A57" s="37" t="s">
        <v>1135</v>
      </c>
      <c r="C57" s="55">
        <f>C52+C54+C56</f>
        <v>336980</v>
      </c>
      <c r="D57" s="55">
        <f>D52+D54+D56</f>
        <v>337</v>
      </c>
    </row>
    <row r="58" spans="2:3" ht="12">
      <c r="B58" s="63" t="s">
        <v>175</v>
      </c>
      <c r="C58" s="63" t="s">
        <v>176</v>
      </c>
    </row>
    <row r="59" spans="1:4" ht="12">
      <c r="A59" s="37" t="s">
        <v>177</v>
      </c>
      <c r="B59" s="55">
        <f>C32+C36</f>
        <v>1092000</v>
      </c>
      <c r="C59" s="55">
        <f>B59*3%</f>
        <v>32760</v>
      </c>
      <c r="D59" s="55">
        <f>ROUND(C59/1000,0)</f>
        <v>33</v>
      </c>
    </row>
    <row r="60" spans="1:4" s="9" customFormat="1" ht="12">
      <c r="A60" s="37"/>
      <c r="B60" s="55"/>
      <c r="C60" s="55"/>
      <c r="D60" s="55"/>
    </row>
    <row r="61" ht="12">
      <c r="A61" s="37" t="s">
        <v>841</v>
      </c>
    </row>
    <row r="62" spans="1:2" ht="12">
      <c r="A62" s="37" t="s">
        <v>842</v>
      </c>
      <c r="B62" s="55">
        <v>1</v>
      </c>
    </row>
    <row r="63" spans="1:3" ht="12">
      <c r="A63" s="37" t="s">
        <v>1228</v>
      </c>
      <c r="B63" s="55">
        <v>1950</v>
      </c>
      <c r="C63" s="55">
        <f>B62*B63*12</f>
        <v>23400</v>
      </c>
    </row>
    <row r="64" spans="2:3" ht="12">
      <c r="B64" s="14" t="s">
        <v>1150</v>
      </c>
      <c r="C64" s="14" t="s">
        <v>2</v>
      </c>
    </row>
    <row r="65" spans="1:3" ht="12">
      <c r="A65" s="37" t="s">
        <v>1</v>
      </c>
      <c r="B65" s="55">
        <f>C40+C45</f>
        <v>70000</v>
      </c>
      <c r="C65" s="55">
        <f>B65*11%</f>
        <v>7700</v>
      </c>
    </row>
    <row r="66" spans="1:4" ht="12">
      <c r="A66" s="37" t="s">
        <v>841</v>
      </c>
      <c r="C66" s="55">
        <f>C63+C65</f>
        <v>31100</v>
      </c>
      <c r="D66" s="55">
        <f>ROUND(C66/1000,0)</f>
        <v>31</v>
      </c>
    </row>
    <row r="67" spans="1:4" s="9" customFormat="1" ht="12">
      <c r="A67" s="9" t="s">
        <v>1276</v>
      </c>
      <c r="B67" s="243"/>
      <c r="C67" s="243">
        <f>C52+C54+C56+C59+C66</f>
        <v>400840</v>
      </c>
      <c r="D67" s="243">
        <f>D52+D54+D56+D59+D66</f>
        <v>401</v>
      </c>
    </row>
    <row r="69" ht="12">
      <c r="A69" s="61" t="s">
        <v>1278</v>
      </c>
    </row>
    <row r="71" spans="1:3" ht="12">
      <c r="A71" s="61" t="s">
        <v>589</v>
      </c>
      <c r="B71" s="13" t="s">
        <v>1196</v>
      </c>
      <c r="C71" s="63" t="s">
        <v>1197</v>
      </c>
    </row>
    <row r="72" spans="1:4" ht="12">
      <c r="A72" s="37" t="s">
        <v>590</v>
      </c>
      <c r="B72" s="13">
        <v>29931</v>
      </c>
      <c r="C72" s="55">
        <v>30000</v>
      </c>
      <c r="D72" s="55">
        <f>ROUND(C72/1000,0)</f>
        <v>30</v>
      </c>
    </row>
    <row r="73" spans="1:4" ht="12">
      <c r="A73" s="37" t="s">
        <v>591</v>
      </c>
      <c r="B73" s="13"/>
      <c r="C73" s="55">
        <v>10000</v>
      </c>
      <c r="D73" s="55">
        <f>ROUND(C73/1000,0)</f>
        <v>10</v>
      </c>
    </row>
    <row r="74" spans="1:4" ht="12">
      <c r="A74" s="37" t="s">
        <v>592</v>
      </c>
      <c r="B74" s="13">
        <v>10211</v>
      </c>
      <c r="C74" s="55">
        <v>50000</v>
      </c>
      <c r="D74" s="55">
        <f>ROUND(C74/1000,0)</f>
        <v>50</v>
      </c>
    </row>
    <row r="75" spans="1:2" ht="12">
      <c r="A75" s="37" t="s">
        <v>593</v>
      </c>
      <c r="B75" s="13"/>
    </row>
    <row r="76" spans="1:2" ht="12">
      <c r="A76" s="37" t="s">
        <v>594</v>
      </c>
      <c r="B76" s="13"/>
    </row>
    <row r="77" spans="1:4" ht="12">
      <c r="A77" s="9" t="s">
        <v>589</v>
      </c>
      <c r="B77" s="13">
        <f>SUM(B72:B76)</f>
        <v>40142</v>
      </c>
      <c r="C77" s="243">
        <f>C72+C73+C74</f>
        <v>90000</v>
      </c>
      <c r="D77" s="243">
        <f>D72+D73+D74</f>
        <v>90</v>
      </c>
    </row>
    <row r="79" spans="1:4" s="61" customFormat="1" ht="12">
      <c r="A79" s="37" t="s">
        <v>847</v>
      </c>
      <c r="B79" s="13" t="s">
        <v>1196</v>
      </c>
      <c r="C79" s="63" t="s">
        <v>1197</v>
      </c>
      <c r="D79" s="55"/>
    </row>
    <row r="80" spans="1:4" ht="12">
      <c r="A80" s="37" t="s">
        <v>151</v>
      </c>
      <c r="B80" s="13"/>
      <c r="D80" s="55">
        <f aca="true" t="shared" si="0" ref="D80:D85">ROUND(C80/1000,0)</f>
        <v>0</v>
      </c>
    </row>
    <row r="81" spans="1:4" ht="12">
      <c r="A81" s="37" t="s">
        <v>595</v>
      </c>
      <c r="B81" s="13"/>
      <c r="D81" s="55">
        <f t="shared" si="0"/>
        <v>0</v>
      </c>
    </row>
    <row r="82" spans="1:4" ht="12">
      <c r="A82" s="37" t="s">
        <v>802</v>
      </c>
      <c r="B82" s="13"/>
      <c r="D82" s="55">
        <f t="shared" si="0"/>
        <v>0</v>
      </c>
    </row>
    <row r="83" spans="1:4" ht="12">
      <c r="A83" s="37" t="s">
        <v>1163</v>
      </c>
      <c r="B83" s="13"/>
      <c r="D83" s="55">
        <f t="shared" si="0"/>
        <v>0</v>
      </c>
    </row>
    <row r="84" spans="1:4" ht="12">
      <c r="A84" s="37" t="s">
        <v>1009</v>
      </c>
      <c r="B84" s="13">
        <v>0</v>
      </c>
      <c r="C84" s="55">
        <v>50000</v>
      </c>
      <c r="D84" s="55">
        <f t="shared" si="0"/>
        <v>50</v>
      </c>
    </row>
    <row r="85" spans="1:4" ht="12">
      <c r="A85" s="37" t="s">
        <v>849</v>
      </c>
      <c r="B85" s="13"/>
      <c r="D85" s="55">
        <f t="shared" si="0"/>
        <v>0</v>
      </c>
    </row>
    <row r="86" spans="1:4" ht="12">
      <c r="A86" s="9" t="s">
        <v>847</v>
      </c>
      <c r="B86" s="13">
        <f>SUM(B80:B85)</f>
        <v>0</v>
      </c>
      <c r="C86" s="243">
        <f>SUM(C80:C84)</f>
        <v>50000</v>
      </c>
      <c r="D86" s="243">
        <f>SUM(D80:D84)</f>
        <v>50</v>
      </c>
    </row>
    <row r="88" ht="12">
      <c r="A88" s="9" t="s">
        <v>851</v>
      </c>
    </row>
    <row r="89" spans="1:3" ht="12">
      <c r="A89" s="37" t="s">
        <v>596</v>
      </c>
      <c r="B89" s="14" t="s">
        <v>755</v>
      </c>
      <c r="C89" s="14" t="s">
        <v>854</v>
      </c>
    </row>
    <row r="90" spans="1:4" ht="12">
      <c r="A90" s="37" t="s">
        <v>803</v>
      </c>
      <c r="B90" s="55">
        <f>C77+C86</f>
        <v>140000</v>
      </c>
      <c r="C90" s="55">
        <f>B90*20%</f>
        <v>28000</v>
      </c>
      <c r="D90" s="55">
        <f>ROUND(C90/1000,0)</f>
        <v>28</v>
      </c>
    </row>
    <row r="91" spans="1:4" ht="12">
      <c r="A91" s="37" t="s">
        <v>597</v>
      </c>
      <c r="C91" s="55">
        <f>SUM(C90)</f>
        <v>28000</v>
      </c>
      <c r="D91" s="55">
        <f>SUM(D90)</f>
        <v>28</v>
      </c>
    </row>
    <row r="93" spans="2:3" ht="12">
      <c r="B93" s="13" t="s">
        <v>1196</v>
      </c>
      <c r="C93" s="63" t="s">
        <v>1197</v>
      </c>
    </row>
    <row r="94" spans="1:4" ht="12">
      <c r="A94" s="37" t="s">
        <v>804</v>
      </c>
      <c r="B94" s="63"/>
      <c r="D94" s="55">
        <f>ROUND(C94/1000,0)</f>
        <v>0</v>
      </c>
    </row>
    <row r="95" spans="1:4" ht="12">
      <c r="A95" s="37" t="s">
        <v>598</v>
      </c>
      <c r="D95" s="55">
        <f>ROUND(C95/1000,0)</f>
        <v>0</v>
      </c>
    </row>
    <row r="96" spans="1:4" ht="12">
      <c r="A96" s="9" t="s">
        <v>851</v>
      </c>
      <c r="C96" s="55">
        <f>C91+C94+C95</f>
        <v>28000</v>
      </c>
      <c r="D96" s="55">
        <f>D91+D94+D95</f>
        <v>28</v>
      </c>
    </row>
    <row r="98" spans="1:4" ht="12">
      <c r="A98" s="61" t="s">
        <v>304</v>
      </c>
      <c r="B98" s="226"/>
      <c r="C98" s="226">
        <f>C77+C86+C96</f>
        <v>168000</v>
      </c>
      <c r="D98" s="226">
        <f>D77+D86+D96</f>
        <v>168</v>
      </c>
    </row>
    <row r="100" spans="1:4" ht="12">
      <c r="A100" s="61" t="s">
        <v>340</v>
      </c>
      <c r="C100" s="55">
        <v>0</v>
      </c>
      <c r="D100" s="55">
        <f>ROUND(C100/1000,0)</f>
        <v>0</v>
      </c>
    </row>
    <row r="102" ht="12">
      <c r="A102" s="61"/>
    </row>
    <row r="103" ht="12">
      <c r="A103" s="37" t="s">
        <v>599</v>
      </c>
    </row>
    <row r="104" spans="1:4" s="9" customFormat="1" ht="12">
      <c r="A104" s="37"/>
      <c r="B104" s="55"/>
      <c r="C104" s="55">
        <v>0</v>
      </c>
      <c r="D104" s="55">
        <f>ROUND(C104/1000,0)</f>
        <v>0</v>
      </c>
    </row>
    <row r="105" spans="1:4" ht="12">
      <c r="A105" s="37" t="s">
        <v>599</v>
      </c>
      <c r="C105" s="55">
        <f>SUM(C104)</f>
        <v>0</v>
      </c>
      <c r="D105" s="55">
        <f>SUM(D104)</f>
        <v>0</v>
      </c>
    </row>
    <row r="107" spans="1:4" ht="12">
      <c r="A107" s="61" t="s">
        <v>340</v>
      </c>
      <c r="B107" s="226"/>
      <c r="C107" s="226">
        <f>C100+C104+C105</f>
        <v>0</v>
      </c>
      <c r="D107" s="226">
        <f>D100+D104+D105</f>
        <v>0</v>
      </c>
    </row>
    <row r="109" spans="1:4" ht="12">
      <c r="A109" s="145" t="s">
        <v>600</v>
      </c>
      <c r="B109" s="241"/>
      <c r="C109" s="241">
        <f>C48+C67+C98+C107</f>
        <v>1874840</v>
      </c>
      <c r="D109" s="241">
        <f>D48+D67+D98+D107</f>
        <v>1875</v>
      </c>
    </row>
    <row r="111" spans="1:4" s="9" customFormat="1" ht="12">
      <c r="A111" s="37"/>
      <c r="B111" s="55"/>
      <c r="C111" s="55"/>
      <c r="D111" s="55"/>
    </row>
    <row r="112" ht="12">
      <c r="A112" s="61" t="s">
        <v>1446</v>
      </c>
    </row>
    <row r="114" spans="1:4" ht="24.75" customHeight="1">
      <c r="A114" s="317" t="s">
        <v>601</v>
      </c>
      <c r="B114" s="318"/>
      <c r="C114" s="318"/>
      <c r="D114" s="318"/>
    </row>
    <row r="116" ht="12">
      <c r="A116" s="37" t="s">
        <v>795</v>
      </c>
    </row>
    <row r="117" ht="12">
      <c r="A117" s="37" t="s">
        <v>415</v>
      </c>
    </row>
    <row r="118" spans="1:4" s="61" customFormat="1" ht="12">
      <c r="A118" s="37"/>
      <c r="B118" s="55"/>
      <c r="C118" s="55"/>
      <c r="D118" s="55"/>
    </row>
    <row r="119" spans="1:3" ht="12">
      <c r="A119" s="61" t="s">
        <v>1278</v>
      </c>
      <c r="B119" s="13"/>
      <c r="C119" s="63"/>
    </row>
    <row r="120" spans="1:4" s="61" customFormat="1" ht="12">
      <c r="A120" s="9" t="s">
        <v>1279</v>
      </c>
      <c r="B120" s="13" t="s">
        <v>1196</v>
      </c>
      <c r="C120" s="63" t="s">
        <v>1197</v>
      </c>
      <c r="D120" s="55"/>
    </row>
    <row r="121" spans="1:4" ht="12">
      <c r="A121" s="37" t="s">
        <v>602</v>
      </c>
      <c r="B121" s="13"/>
      <c r="C121" s="55">
        <v>5000</v>
      </c>
      <c r="D121" s="55">
        <f>ROUND(C121/1000,0)</f>
        <v>5</v>
      </c>
    </row>
    <row r="122" spans="1:4" ht="12">
      <c r="A122" s="37" t="s">
        <v>603</v>
      </c>
      <c r="B122" s="13"/>
      <c r="C122" s="55">
        <v>15000</v>
      </c>
      <c r="D122" s="55">
        <f>ROUND(C122/1000,0)</f>
        <v>15</v>
      </c>
    </row>
    <row r="123" spans="1:4" ht="12">
      <c r="A123" s="9" t="s">
        <v>1279</v>
      </c>
      <c r="B123" s="13">
        <f>SUM(B121:B122)</f>
        <v>0</v>
      </c>
      <c r="C123" s="243">
        <f>SUM(C121:C122)</f>
        <v>20000</v>
      </c>
      <c r="D123" s="243">
        <f>SUM(D121:D122)</f>
        <v>20</v>
      </c>
    </row>
    <row r="124" ht="12">
      <c r="B124" s="16"/>
    </row>
    <row r="125" spans="1:2" ht="25.5" customHeight="1">
      <c r="A125" s="37" t="s">
        <v>604</v>
      </c>
      <c r="B125" s="16"/>
    </row>
    <row r="126" spans="1:4" ht="12">
      <c r="A126" s="37" t="s">
        <v>605</v>
      </c>
      <c r="B126" s="13">
        <v>65069</v>
      </c>
      <c r="C126" s="55">
        <v>50000</v>
      </c>
      <c r="D126" s="55">
        <f>ROUND(C126/1000,0)</f>
        <v>50</v>
      </c>
    </row>
    <row r="127" spans="1:4" ht="12">
      <c r="A127" s="37" t="s">
        <v>606</v>
      </c>
      <c r="B127" s="13">
        <v>4740</v>
      </c>
      <c r="C127" s="55">
        <v>5000</v>
      </c>
      <c r="D127" s="55">
        <f>ROUND(C127/1000,0)</f>
        <v>5</v>
      </c>
    </row>
    <row r="128" spans="1:2" ht="12">
      <c r="A128" s="37" t="s">
        <v>1595</v>
      </c>
      <c r="B128" s="13">
        <v>0</v>
      </c>
    </row>
    <row r="129" spans="1:2" ht="12">
      <c r="A129" s="37" t="s">
        <v>1596</v>
      </c>
      <c r="B129" s="13"/>
    </row>
    <row r="130" spans="1:4" ht="12">
      <c r="A130" s="9" t="s">
        <v>1597</v>
      </c>
      <c r="B130" s="13">
        <f>SUM(B126:B129)</f>
        <v>69809</v>
      </c>
      <c r="C130" s="243">
        <f>SUM(C126:C129)</f>
        <v>55000</v>
      </c>
      <c r="D130" s="243">
        <f>SUM(D126:D129)</f>
        <v>55</v>
      </c>
    </row>
    <row r="132" spans="1:3" ht="12">
      <c r="A132" s="37" t="s">
        <v>596</v>
      </c>
      <c r="B132" s="14" t="s">
        <v>853</v>
      </c>
      <c r="C132" s="14" t="s">
        <v>854</v>
      </c>
    </row>
    <row r="133" spans="1:4" ht="12">
      <c r="A133" s="37" t="s">
        <v>806</v>
      </c>
      <c r="C133" s="55">
        <f>B133*15%</f>
        <v>0</v>
      </c>
      <c r="D133" s="55">
        <f>ROUND(C133/1000,0)</f>
        <v>0</v>
      </c>
    </row>
    <row r="134" spans="1:4" ht="12">
      <c r="A134" s="37" t="s">
        <v>803</v>
      </c>
      <c r="B134" s="55">
        <f>C123+C130</f>
        <v>75000</v>
      </c>
      <c r="C134" s="55">
        <f>B134*20%</f>
        <v>15000</v>
      </c>
      <c r="D134" s="55">
        <f>ROUND(C134/1000,0)</f>
        <v>15</v>
      </c>
    </row>
    <row r="135" spans="1:4" ht="12">
      <c r="A135" s="37" t="s">
        <v>596</v>
      </c>
      <c r="C135" s="55">
        <f>SUM(C133:C134)</f>
        <v>15000</v>
      </c>
      <c r="D135" s="55">
        <f>SUM(D133:D134)</f>
        <v>15</v>
      </c>
    </row>
    <row r="137" spans="1:4" ht="12">
      <c r="A137" s="61" t="s">
        <v>304</v>
      </c>
      <c r="B137" s="226"/>
      <c r="C137" s="226">
        <f>C123+C130+C135</f>
        <v>90000</v>
      </c>
      <c r="D137" s="226">
        <f>D123+D130+D135</f>
        <v>90</v>
      </c>
    </row>
    <row r="139" spans="1:4" ht="12">
      <c r="A139" s="61" t="s">
        <v>1598</v>
      </c>
      <c r="B139" s="226"/>
      <c r="C139" s="226">
        <f>C137</f>
        <v>90000</v>
      </c>
      <c r="D139" s="226">
        <f>D137</f>
        <v>90</v>
      </c>
    </row>
    <row r="140" spans="1:4" s="9" customFormat="1" ht="12">
      <c r="A140" s="37"/>
      <c r="B140" s="55"/>
      <c r="C140" s="55"/>
      <c r="D140" s="55"/>
    </row>
    <row r="142" spans="1:4" s="61" customFormat="1" ht="12">
      <c r="A142" s="61" t="s">
        <v>1599</v>
      </c>
      <c r="B142" s="55"/>
      <c r="C142" s="55"/>
      <c r="D142" s="55"/>
    </row>
    <row r="144" spans="1:4" ht="12">
      <c r="A144" s="317" t="s">
        <v>1600</v>
      </c>
      <c r="B144" s="318"/>
      <c r="C144" s="318"/>
      <c r="D144" s="318"/>
    </row>
    <row r="146" ht="12">
      <c r="A146" s="37" t="s">
        <v>795</v>
      </c>
    </row>
    <row r="147" ht="12">
      <c r="A147" s="37" t="s">
        <v>415</v>
      </c>
    </row>
    <row r="149" ht="12">
      <c r="A149" s="9" t="s">
        <v>1278</v>
      </c>
    </row>
    <row r="151" spans="1:3" ht="12">
      <c r="A151" s="37" t="s">
        <v>847</v>
      </c>
      <c r="B151" s="13" t="s">
        <v>1196</v>
      </c>
      <c r="C151" s="63" t="s">
        <v>1197</v>
      </c>
    </row>
    <row r="152" spans="1:4" ht="12">
      <c r="A152" s="37" t="s">
        <v>1601</v>
      </c>
      <c r="B152" s="13">
        <v>974252</v>
      </c>
      <c r="C152" s="55">
        <v>600000</v>
      </c>
      <c r="D152" s="55">
        <f>ROUND(C152/1000,0)</f>
        <v>600</v>
      </c>
    </row>
    <row r="153" spans="1:4" ht="12">
      <c r="A153" s="37" t="s">
        <v>1602</v>
      </c>
      <c r="B153" s="13">
        <v>898875</v>
      </c>
      <c r="C153" s="55">
        <v>1100000</v>
      </c>
      <c r="D153" s="55">
        <f>ROUND(C153/1000,0)</f>
        <v>1100</v>
      </c>
    </row>
    <row r="154" spans="1:4" ht="12">
      <c r="A154" s="37" t="s">
        <v>847</v>
      </c>
      <c r="C154" s="55">
        <f>SUM(C152:C153)</f>
        <v>1700000</v>
      </c>
      <c r="D154" s="55">
        <f>SUM(D152:D153)</f>
        <v>1700</v>
      </c>
    </row>
    <row r="156" spans="1:3" ht="12">
      <c r="A156" s="37" t="s">
        <v>1603</v>
      </c>
      <c r="B156" s="14" t="s">
        <v>853</v>
      </c>
      <c r="C156" s="14" t="s">
        <v>854</v>
      </c>
    </row>
    <row r="157" spans="1:4" ht="12">
      <c r="A157" s="37" t="s">
        <v>803</v>
      </c>
      <c r="B157" s="55">
        <f>C154</f>
        <v>1700000</v>
      </c>
      <c r="C157" s="55">
        <f>B157*20%</f>
        <v>340000</v>
      </c>
      <c r="D157" s="55">
        <f>ROUND(C157/1000,0)</f>
        <v>340</v>
      </c>
    </row>
    <row r="159" spans="1:4" ht="12">
      <c r="A159" s="9" t="s">
        <v>304</v>
      </c>
      <c r="B159" s="243"/>
      <c r="C159" s="243">
        <f>C154+C157</f>
        <v>2040000</v>
      </c>
      <c r="D159" s="243">
        <f>D154+D157</f>
        <v>2040</v>
      </c>
    </row>
    <row r="161" spans="1:4" s="9" customFormat="1" ht="12">
      <c r="A161" s="61" t="s">
        <v>1604</v>
      </c>
      <c r="B161" s="226"/>
      <c r="C161" s="226">
        <f>C159</f>
        <v>2040000</v>
      </c>
      <c r="D161" s="226">
        <f>D159</f>
        <v>2040</v>
      </c>
    </row>
    <row r="163" spans="1:4" s="61" customFormat="1" ht="12">
      <c r="A163" s="37"/>
      <c r="B163" s="55"/>
      <c r="C163" s="55"/>
      <c r="D163" s="55"/>
    </row>
    <row r="164" spans="1:4" s="61" customFormat="1" ht="12">
      <c r="A164" s="61" t="s">
        <v>1605</v>
      </c>
      <c r="B164" s="55"/>
      <c r="C164" s="55"/>
      <c r="D164" s="55"/>
    </row>
    <row r="165" spans="1:4" s="61" customFormat="1" ht="12">
      <c r="A165" s="37"/>
      <c r="B165" s="55"/>
      <c r="C165" s="55"/>
      <c r="D165" s="55"/>
    </row>
    <row r="166" spans="1:4" s="61" customFormat="1" ht="12">
      <c r="A166" s="317" t="s">
        <v>1606</v>
      </c>
      <c r="B166" s="318"/>
      <c r="C166" s="318"/>
      <c r="D166" s="318"/>
    </row>
    <row r="167" ht="27" customHeight="1"/>
    <row r="168" spans="1:4" s="61" customFormat="1" ht="12">
      <c r="A168" s="37" t="s">
        <v>795</v>
      </c>
      <c r="B168" s="55"/>
      <c r="C168" s="55"/>
      <c r="D168" s="55"/>
    </row>
    <row r="169" spans="1:4" s="61" customFormat="1" ht="12">
      <c r="A169" s="37" t="s">
        <v>415</v>
      </c>
      <c r="B169" s="55"/>
      <c r="C169" s="55"/>
      <c r="D169" s="55"/>
    </row>
    <row r="170" spans="1:4" s="61" customFormat="1" ht="12">
      <c r="A170" s="37"/>
      <c r="B170" s="55"/>
      <c r="C170" s="55"/>
      <c r="D170" s="55"/>
    </row>
    <row r="171" spans="1:4" s="61" customFormat="1" ht="12">
      <c r="A171" s="9" t="s">
        <v>1278</v>
      </c>
      <c r="B171" s="55"/>
      <c r="C171" s="55"/>
      <c r="D171" s="55"/>
    </row>
    <row r="172" spans="1:4" s="61" customFormat="1" ht="12">
      <c r="A172" s="37" t="s">
        <v>847</v>
      </c>
      <c r="B172" s="55"/>
      <c r="C172" s="55"/>
      <c r="D172" s="55"/>
    </row>
    <row r="173" spans="1:4" s="61" customFormat="1" ht="12">
      <c r="A173" s="37" t="s">
        <v>1607</v>
      </c>
      <c r="B173" s="13" t="s">
        <v>1196</v>
      </c>
      <c r="C173" s="63" t="s">
        <v>1197</v>
      </c>
      <c r="D173" s="55"/>
    </row>
    <row r="174" spans="1:4" s="61" customFormat="1" ht="12">
      <c r="A174" s="37" t="s">
        <v>1608</v>
      </c>
      <c r="B174" s="63">
        <v>999807</v>
      </c>
      <c r="C174" s="55">
        <v>1500000</v>
      </c>
      <c r="D174" s="55">
        <f>ROUND(C174/1000,0)</f>
        <v>1500</v>
      </c>
    </row>
    <row r="175" spans="1:4" ht="12">
      <c r="A175" s="37" t="s">
        <v>847</v>
      </c>
      <c r="C175" s="55">
        <f>SUM(C174)</f>
        <v>1500000</v>
      </c>
      <c r="D175" s="55">
        <f>SUM(D174)</f>
        <v>1500</v>
      </c>
    </row>
    <row r="177" spans="1:3" ht="12">
      <c r="A177" s="37" t="s">
        <v>1603</v>
      </c>
      <c r="B177" s="14" t="s">
        <v>853</v>
      </c>
      <c r="C177" s="14" t="s">
        <v>854</v>
      </c>
    </row>
    <row r="178" spans="1:4" ht="12">
      <c r="A178" s="37" t="s">
        <v>807</v>
      </c>
      <c r="B178" s="55">
        <f>C175</f>
        <v>1500000</v>
      </c>
      <c r="C178" s="55">
        <f>B178*20%</f>
        <v>300000</v>
      </c>
      <c r="D178" s="55">
        <f>ROUND(C178/1000,0)</f>
        <v>300</v>
      </c>
    </row>
    <row r="180" spans="1:4" ht="12">
      <c r="A180" s="9" t="s">
        <v>304</v>
      </c>
      <c r="B180" s="243"/>
      <c r="C180" s="243">
        <f>C175+C178</f>
        <v>1800000</v>
      </c>
      <c r="D180" s="243">
        <f>D175+D178</f>
        <v>1800</v>
      </c>
    </row>
    <row r="182" spans="1:4" s="9" customFormat="1" ht="12">
      <c r="A182" s="61" t="s">
        <v>1609</v>
      </c>
      <c r="B182" s="226"/>
      <c r="C182" s="226">
        <f>C180</f>
        <v>1800000</v>
      </c>
      <c r="D182" s="226">
        <f>D180</f>
        <v>1800</v>
      </c>
    </row>
    <row r="183" spans="1:4" ht="12">
      <c r="A183" s="61"/>
      <c r="B183" s="226"/>
      <c r="C183" s="226"/>
      <c r="D183" s="226"/>
    </row>
    <row r="184" spans="1:4" s="61" customFormat="1" ht="12">
      <c r="A184" s="61" t="s">
        <v>1267</v>
      </c>
      <c r="B184" s="226"/>
      <c r="C184" s="226"/>
      <c r="D184" s="226"/>
    </row>
    <row r="185" spans="1:4" ht="12">
      <c r="A185" s="61"/>
      <c r="B185" s="226"/>
      <c r="C185" s="226"/>
      <c r="D185" s="226"/>
    </row>
    <row r="186" spans="1:4" s="145" customFormat="1" ht="12">
      <c r="A186" s="317" t="s">
        <v>832</v>
      </c>
      <c r="B186" s="318"/>
      <c r="C186" s="318"/>
      <c r="D186" s="318"/>
    </row>
    <row r="187" spans="1:4" ht="12">
      <c r="A187" s="61"/>
      <c r="B187" s="226"/>
      <c r="C187" s="226"/>
      <c r="D187" s="226"/>
    </row>
    <row r="188" spans="1:4" ht="12">
      <c r="A188" s="37" t="s">
        <v>795</v>
      </c>
      <c r="B188" s="226"/>
      <c r="C188" s="226"/>
      <c r="D188" s="226"/>
    </row>
    <row r="189" spans="1:4" ht="12">
      <c r="A189" s="37" t="s">
        <v>415</v>
      </c>
      <c r="B189" s="226"/>
      <c r="C189" s="226"/>
      <c r="D189" s="226"/>
    </row>
    <row r="190" spans="2:4" ht="12">
      <c r="B190" s="226"/>
      <c r="C190" s="226"/>
      <c r="D190" s="226"/>
    </row>
    <row r="191" spans="1:4" ht="12">
      <c r="A191" s="9" t="s">
        <v>1278</v>
      </c>
      <c r="B191" s="226"/>
      <c r="C191" s="226"/>
      <c r="D191" s="226"/>
    </row>
    <row r="193" spans="1:4" ht="12">
      <c r="A193" s="37" t="s">
        <v>847</v>
      </c>
      <c r="B193" s="226"/>
      <c r="C193" s="226"/>
      <c r="D193" s="226"/>
    </row>
    <row r="194" spans="1:3" ht="12">
      <c r="A194" s="37" t="s">
        <v>833</v>
      </c>
      <c r="B194" s="13" t="s">
        <v>1196</v>
      </c>
      <c r="C194" s="63" t="s">
        <v>1197</v>
      </c>
    </row>
    <row r="195" spans="1:4" ht="12">
      <c r="A195" s="37" t="s">
        <v>1010</v>
      </c>
      <c r="B195" s="55">
        <v>1599360</v>
      </c>
      <c r="D195" s="55">
        <f>ROUND(C195/1000,0)</f>
        <v>0</v>
      </c>
    </row>
    <row r="196" spans="1:4" ht="12">
      <c r="A196" s="37" t="s">
        <v>847</v>
      </c>
      <c r="C196" s="55">
        <f>SUM(C195)</f>
        <v>0</v>
      </c>
      <c r="D196" s="55">
        <f>SUM(D195)</f>
        <v>0</v>
      </c>
    </row>
    <row r="198" spans="1:3" ht="12">
      <c r="A198" s="37" t="s">
        <v>1603</v>
      </c>
      <c r="B198" s="14" t="s">
        <v>853</v>
      </c>
      <c r="C198" s="14" t="s">
        <v>854</v>
      </c>
    </row>
    <row r="199" spans="1:4" ht="12">
      <c r="A199" s="37" t="s">
        <v>807</v>
      </c>
      <c r="B199" s="55">
        <f>C196</f>
        <v>0</v>
      </c>
      <c r="C199" s="55">
        <f>B199*20%</f>
        <v>0</v>
      </c>
      <c r="D199" s="55">
        <f>ROUND(C199/1000,0)</f>
        <v>0</v>
      </c>
    </row>
    <row r="201" spans="1:4" ht="12">
      <c r="A201" s="9" t="s">
        <v>304</v>
      </c>
      <c r="B201" s="243"/>
      <c r="C201" s="243">
        <f>C196+C199</f>
        <v>0</v>
      </c>
      <c r="D201" s="243">
        <f>D196+D199</f>
        <v>0</v>
      </c>
    </row>
    <row r="203" spans="1:4" ht="12">
      <c r="A203" s="61" t="s">
        <v>834</v>
      </c>
      <c r="B203" s="226"/>
      <c r="C203" s="226">
        <f>C201</f>
        <v>0</v>
      </c>
      <c r="D203" s="226">
        <f>D201</f>
        <v>0</v>
      </c>
    </row>
    <row r="204" ht="12">
      <c r="A204" s="61"/>
    </row>
    <row r="205" spans="1:4" ht="12">
      <c r="A205" s="145" t="s">
        <v>1610</v>
      </c>
      <c r="B205" s="241"/>
      <c r="C205" s="241">
        <f>C19+C109+C139+C161+C182+C203</f>
        <v>5804840</v>
      </c>
      <c r="D205" s="241">
        <f>D19+D109+D139+D161+D182+D203</f>
        <v>5805</v>
      </c>
    </row>
  </sheetData>
  <mergeCells count="6">
    <mergeCell ref="A186:D186"/>
    <mergeCell ref="A166:D166"/>
    <mergeCell ref="A3:D3"/>
    <mergeCell ref="A24:D24"/>
    <mergeCell ref="A114:D114"/>
    <mergeCell ref="A144:D144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KÖLTSÉGVETÉSE&amp;R&amp;"Arial,Dőlt"&amp;8Település üzemeltetés</oddHeader>
    <oddFooter>&amp;C&amp;"Arial,Dőlt"&amp;8&amp;P. oldal</oddFooter>
  </headerFooter>
  <rowBreaks count="2" manualBreakCount="2">
    <brk id="61" max="255" man="1"/>
    <brk id="1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62"/>
  <sheetViews>
    <sheetView workbookViewId="0" topLeftCell="A7">
      <selection activeCell="A32" sqref="A32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145" t="s">
        <v>1014</v>
      </c>
    </row>
    <row r="2" ht="12">
      <c r="A2" s="145"/>
    </row>
    <row r="3" ht="12">
      <c r="A3" s="61" t="s">
        <v>153</v>
      </c>
    </row>
    <row r="5" spans="1:4" ht="39" customHeight="1">
      <c r="A5" s="317" t="s">
        <v>888</v>
      </c>
      <c r="B5" s="318"/>
      <c r="C5" s="318"/>
      <c r="D5" s="318"/>
    </row>
    <row r="7" ht="12">
      <c r="A7" s="37" t="s">
        <v>795</v>
      </c>
    </row>
    <row r="8" ht="12">
      <c r="A8" s="37" t="s">
        <v>415</v>
      </c>
    </row>
    <row r="10" ht="12">
      <c r="A10" s="37" t="s">
        <v>889</v>
      </c>
    </row>
    <row r="11" ht="12">
      <c r="A11" s="37" t="s">
        <v>1043</v>
      </c>
    </row>
    <row r="13" ht="12">
      <c r="A13" s="9" t="s">
        <v>797</v>
      </c>
    </row>
    <row r="14" ht="12">
      <c r="A14" s="37" t="s">
        <v>798</v>
      </c>
    </row>
    <row r="15" ht="12">
      <c r="A15" s="37" t="s">
        <v>785</v>
      </c>
    </row>
    <row r="16" ht="12">
      <c r="A16" s="37" t="s">
        <v>1573</v>
      </c>
    </row>
    <row r="17" ht="12">
      <c r="A17" s="37" t="s">
        <v>1044</v>
      </c>
    </row>
    <row r="18" ht="12">
      <c r="A18" s="37" t="s">
        <v>1045</v>
      </c>
    </row>
    <row r="19" ht="12">
      <c r="A19" s="37" t="s">
        <v>1046</v>
      </c>
    </row>
    <row r="20" spans="1:2" ht="12">
      <c r="A20" s="37" t="s">
        <v>1047</v>
      </c>
      <c r="B20" s="55">
        <v>65500</v>
      </c>
    </row>
    <row r="21" ht="12">
      <c r="A21" s="37" t="s">
        <v>1575</v>
      </c>
    </row>
    <row r="22" spans="2:3" ht="12">
      <c r="B22" s="63" t="s">
        <v>160</v>
      </c>
      <c r="C22" s="63" t="s">
        <v>161</v>
      </c>
    </row>
    <row r="23" spans="1:4" ht="12">
      <c r="A23" s="37" t="s">
        <v>1576</v>
      </c>
      <c r="B23" s="55">
        <f>B19*B20</f>
        <v>0</v>
      </c>
      <c r="C23" s="55">
        <f>B23*4</f>
        <v>0</v>
      </c>
      <c r="D23" s="55">
        <f>ROUND(C23/1000,0)</f>
        <v>0</v>
      </c>
    </row>
    <row r="24" ht="12">
      <c r="A24" s="37" t="s">
        <v>704</v>
      </c>
    </row>
    <row r="25" spans="1:2" ht="12">
      <c r="A25" s="253" t="s">
        <v>1574</v>
      </c>
      <c r="B25" s="55">
        <v>2</v>
      </c>
    </row>
    <row r="26" spans="1:2" ht="12">
      <c r="A26" s="37" t="s">
        <v>1577</v>
      </c>
      <c r="B26" s="55">
        <v>51000</v>
      </c>
    </row>
    <row r="27" ht="12">
      <c r="A27" s="37" t="s">
        <v>1578</v>
      </c>
    </row>
    <row r="28" spans="2:3" ht="12">
      <c r="B28" s="63" t="s">
        <v>160</v>
      </c>
      <c r="C28" s="63" t="s">
        <v>161</v>
      </c>
    </row>
    <row r="29" spans="2:4" ht="12">
      <c r="B29" s="55">
        <f>B25*B26</f>
        <v>102000</v>
      </c>
      <c r="C29" s="55">
        <f>B29*B27</f>
        <v>0</v>
      </c>
      <c r="D29" s="55">
        <f>ROUND(C29/1000,0)</f>
        <v>0</v>
      </c>
    </row>
    <row r="31" ht="12">
      <c r="A31" s="37" t="s">
        <v>705</v>
      </c>
    </row>
    <row r="32" ht="12">
      <c r="A32" s="253" t="s">
        <v>1579</v>
      </c>
    </row>
    <row r="33" spans="1:2" ht="12">
      <c r="A33" s="37" t="s">
        <v>1577</v>
      </c>
      <c r="B33" s="55">
        <v>67500</v>
      </c>
    </row>
    <row r="34" spans="1:2" ht="12">
      <c r="A34" s="37" t="s">
        <v>1578</v>
      </c>
      <c r="B34" s="254">
        <v>2.75</v>
      </c>
    </row>
    <row r="35" spans="2:3" ht="12">
      <c r="B35" s="63" t="s">
        <v>160</v>
      </c>
      <c r="C35" s="63" t="s">
        <v>161</v>
      </c>
    </row>
    <row r="36" spans="2:4" ht="12">
      <c r="B36" s="55">
        <f>B32*B33</f>
        <v>0</v>
      </c>
      <c r="C36" s="55">
        <f>B36*B34</f>
        <v>0</v>
      </c>
      <c r="D36" s="55">
        <f>ROUND(C36/1000,0)</f>
        <v>0</v>
      </c>
    </row>
    <row r="38" spans="1:4" ht="12">
      <c r="A38" s="37" t="s">
        <v>1580</v>
      </c>
      <c r="C38" s="55">
        <f>C23+C29+C36</f>
        <v>0</v>
      </c>
      <c r="D38" s="55">
        <f>D23+D29+D36</f>
        <v>0</v>
      </c>
    </row>
    <row r="41" ht="12">
      <c r="A41" s="37" t="s">
        <v>1048</v>
      </c>
    </row>
    <row r="42" spans="1:2" ht="12">
      <c r="A42" s="37" t="s">
        <v>927</v>
      </c>
      <c r="B42" s="55">
        <f>állt!D32</f>
        <v>4215598</v>
      </c>
    </row>
    <row r="43" spans="1:2" ht="12">
      <c r="A43" s="37" t="s">
        <v>928</v>
      </c>
      <c r="B43" s="55">
        <v>3900</v>
      </c>
    </row>
    <row r="44" spans="1:2" ht="12">
      <c r="A44" s="37" t="s">
        <v>929</v>
      </c>
      <c r="B44" s="55">
        <f>B42/B43</f>
        <v>1080.9225641025641</v>
      </c>
    </row>
    <row r="45" spans="1:2" ht="12">
      <c r="A45" s="37" t="s">
        <v>930</v>
      </c>
      <c r="B45" s="55">
        <v>238</v>
      </c>
    </row>
    <row r="46" spans="1:2" ht="12">
      <c r="A46" s="37" t="s">
        <v>178</v>
      </c>
      <c r="B46" s="54">
        <f>B44/B45</f>
        <v>4.541691445809093</v>
      </c>
    </row>
    <row r="47" spans="1:2" ht="12">
      <c r="A47" s="37" t="s">
        <v>179</v>
      </c>
      <c r="B47" s="55">
        <v>5</v>
      </c>
    </row>
    <row r="48" spans="1:2" ht="12">
      <c r="A48" s="37" t="s">
        <v>1581</v>
      </c>
      <c r="B48" s="55">
        <v>51750</v>
      </c>
    </row>
    <row r="49" spans="1:4" ht="12">
      <c r="A49" s="37" t="s">
        <v>1048</v>
      </c>
      <c r="C49" s="55">
        <f>B48*B47*11</f>
        <v>2846250</v>
      </c>
      <c r="D49" s="55">
        <f>ROUND(C49/1000,0)</f>
        <v>2846</v>
      </c>
    </row>
    <row r="51" spans="1:4" ht="12">
      <c r="A51" s="37" t="s">
        <v>1044</v>
      </c>
      <c r="C51" s="55">
        <f>C38+C49</f>
        <v>2846250</v>
      </c>
      <c r="D51" s="55">
        <f>D38+D49</f>
        <v>2846</v>
      </c>
    </row>
    <row r="53" spans="1:4" ht="12">
      <c r="A53" s="37" t="s">
        <v>798</v>
      </c>
      <c r="C53" s="55">
        <f>C51</f>
        <v>2846250</v>
      </c>
      <c r="D53" s="55">
        <f>D51</f>
        <v>2846</v>
      </c>
    </row>
    <row r="55" spans="1:4" s="9" customFormat="1" ht="12">
      <c r="A55" s="9" t="s">
        <v>1275</v>
      </c>
      <c r="B55" s="243"/>
      <c r="C55" s="243">
        <f>C53</f>
        <v>2846250</v>
      </c>
      <c r="D55" s="243">
        <f>D53</f>
        <v>2846</v>
      </c>
    </row>
    <row r="57" ht="12">
      <c r="A57" s="9" t="s">
        <v>174</v>
      </c>
    </row>
    <row r="58" spans="1:3" ht="12">
      <c r="A58" s="37" t="s">
        <v>1277</v>
      </c>
      <c r="B58" s="63" t="s">
        <v>175</v>
      </c>
      <c r="C58" s="63" t="s">
        <v>1129</v>
      </c>
    </row>
    <row r="59" spans="1:4" ht="12">
      <c r="A59" s="37" t="s">
        <v>1130</v>
      </c>
      <c r="B59" s="55">
        <f>C55</f>
        <v>2846250</v>
      </c>
      <c r="C59" s="55">
        <f>B59*24%</f>
        <v>683100</v>
      </c>
      <c r="D59" s="55">
        <f>ROUND(C59/1000,0)</f>
        <v>683</v>
      </c>
    </row>
    <row r="60" spans="1:4" s="9" customFormat="1" ht="12">
      <c r="A60" s="37"/>
      <c r="B60" s="63" t="s">
        <v>175</v>
      </c>
      <c r="C60" s="63" t="s">
        <v>1131</v>
      </c>
      <c r="D60" s="55"/>
    </row>
    <row r="61" spans="1:4" ht="12">
      <c r="A61" s="37" t="s">
        <v>1132</v>
      </c>
      <c r="B61" s="55">
        <f>C55</f>
        <v>2846250</v>
      </c>
      <c r="C61" s="55">
        <f>B61*4.5%</f>
        <v>128081.25</v>
      </c>
      <c r="D61" s="55">
        <f>ROUND(C61/1000,0)</f>
        <v>128</v>
      </c>
    </row>
    <row r="62" spans="1:4" s="61" customFormat="1" ht="12">
      <c r="A62" s="37"/>
      <c r="B62" s="63" t="s">
        <v>175</v>
      </c>
      <c r="C62" s="63" t="s">
        <v>1134</v>
      </c>
      <c r="D62" s="55"/>
    </row>
    <row r="63" spans="1:4" ht="12">
      <c r="A63" s="37" t="s">
        <v>1133</v>
      </c>
      <c r="B63" s="55">
        <f>C55</f>
        <v>2846250</v>
      </c>
      <c r="C63" s="55">
        <f>B63*0.5%</f>
        <v>14231.25</v>
      </c>
      <c r="D63" s="55">
        <f>ROUND(C63/1000,0)</f>
        <v>14</v>
      </c>
    </row>
    <row r="64" spans="1:4" ht="12">
      <c r="A64" s="37" t="s">
        <v>1135</v>
      </c>
      <c r="C64" s="55">
        <f>C59+C61+C63</f>
        <v>825412.5</v>
      </c>
      <c r="D64" s="55">
        <f>D59+D61+D63</f>
        <v>825</v>
      </c>
    </row>
    <row r="66" spans="2:3" ht="12">
      <c r="B66" s="63" t="s">
        <v>175</v>
      </c>
      <c r="C66" s="63" t="s">
        <v>176</v>
      </c>
    </row>
    <row r="67" spans="1:4" ht="12">
      <c r="A67" s="37" t="s">
        <v>177</v>
      </c>
      <c r="B67" s="55">
        <f>C55</f>
        <v>2846250</v>
      </c>
      <c r="C67" s="55">
        <f>B67*3%</f>
        <v>85387.5</v>
      </c>
      <c r="D67" s="55">
        <f>ROUND(C67/1000,0)+1</f>
        <v>86</v>
      </c>
    </row>
    <row r="69" ht="12">
      <c r="A69" s="37" t="s">
        <v>841</v>
      </c>
    </row>
    <row r="70" spans="1:2" ht="12">
      <c r="A70" s="37" t="s">
        <v>842</v>
      </c>
      <c r="B70" s="55">
        <v>5</v>
      </c>
    </row>
    <row r="71" spans="1:3" ht="12">
      <c r="A71" s="37" t="s">
        <v>1228</v>
      </c>
      <c r="B71" s="55">
        <f>1950*0.75</f>
        <v>1462.5</v>
      </c>
      <c r="C71" s="55">
        <f>B70*B71*11</f>
        <v>80437.5</v>
      </c>
    </row>
    <row r="72" spans="2:3" ht="12">
      <c r="B72" s="14" t="s">
        <v>1150</v>
      </c>
      <c r="C72" s="14" t="s">
        <v>2</v>
      </c>
    </row>
    <row r="73" spans="1:3" ht="12">
      <c r="A73" s="37" t="s">
        <v>1</v>
      </c>
      <c r="B73" s="55">
        <f>C47+C52</f>
        <v>0</v>
      </c>
      <c r="C73" s="55">
        <f>B73*11%</f>
        <v>0</v>
      </c>
    </row>
    <row r="74" spans="1:4" ht="12">
      <c r="A74" s="37" t="s">
        <v>841</v>
      </c>
      <c r="C74" s="55">
        <f>C71+C73</f>
        <v>80437.5</v>
      </c>
      <c r="D74" s="55">
        <f>ROUND(C74/1000,0)</f>
        <v>80</v>
      </c>
    </row>
    <row r="75" ht="12">
      <c r="A75" s="9"/>
    </row>
    <row r="76" spans="1:4" s="61" customFormat="1" ht="12">
      <c r="A76" s="37"/>
      <c r="B76" s="55"/>
      <c r="C76" s="55"/>
      <c r="D76" s="55"/>
    </row>
    <row r="77" spans="1:4" ht="12">
      <c r="A77" s="9" t="s">
        <v>174</v>
      </c>
      <c r="B77" s="243"/>
      <c r="C77" s="243">
        <f>C64+C67+C74</f>
        <v>991237.5</v>
      </c>
      <c r="D77" s="243">
        <f>D64+D67+D74</f>
        <v>991</v>
      </c>
    </row>
    <row r="79" spans="1:4" ht="12">
      <c r="A79" s="61" t="s">
        <v>180</v>
      </c>
      <c r="B79" s="226"/>
      <c r="C79" s="226">
        <f>C55+C77</f>
        <v>3837487.5</v>
      </c>
      <c r="D79" s="226">
        <f>D55+D77</f>
        <v>3837</v>
      </c>
    </row>
    <row r="80" ht="26.25" customHeight="1"/>
    <row r="81" ht="12">
      <c r="A81" s="61" t="s">
        <v>182</v>
      </c>
    </row>
    <row r="83" spans="1:4" ht="12">
      <c r="A83" s="317" t="s">
        <v>116</v>
      </c>
      <c r="B83" s="318"/>
      <c r="C83" s="318"/>
      <c r="D83" s="318"/>
    </row>
    <row r="85" ht="12">
      <c r="A85" s="37" t="s">
        <v>795</v>
      </c>
    </row>
    <row r="86" ht="12">
      <c r="A86" s="37" t="s">
        <v>415</v>
      </c>
    </row>
    <row r="88" spans="1:3" ht="12">
      <c r="A88" s="37" t="s">
        <v>183</v>
      </c>
      <c r="B88" s="13" t="s">
        <v>1196</v>
      </c>
      <c r="C88" s="63" t="s">
        <v>1197</v>
      </c>
    </row>
    <row r="89" spans="1:3" ht="12">
      <c r="A89" s="37" t="s">
        <v>1345</v>
      </c>
      <c r="B89" s="243"/>
      <c r="C89" s="55">
        <v>1942752</v>
      </c>
    </row>
    <row r="90" spans="1:3" ht="12">
      <c r="A90" s="37" t="s">
        <v>1346</v>
      </c>
      <c r="B90" s="243"/>
      <c r="C90" s="55">
        <v>600000</v>
      </c>
    </row>
    <row r="91" spans="1:4" ht="12">
      <c r="A91" s="37" t="s">
        <v>19</v>
      </c>
      <c r="C91" s="55">
        <f>SUM(C89:C90)</f>
        <v>2542752</v>
      </c>
      <c r="D91" s="55">
        <f>ROUND(C91/1000,0)</f>
        <v>2543</v>
      </c>
    </row>
    <row r="93" spans="1:4" ht="12">
      <c r="A93" s="61" t="s">
        <v>184</v>
      </c>
      <c r="B93" s="226"/>
      <c r="C93" s="226">
        <f>C91</f>
        <v>2542752</v>
      </c>
      <c r="D93" s="226">
        <f>D91</f>
        <v>2543</v>
      </c>
    </row>
    <row r="95" ht="12">
      <c r="A95" s="61" t="s">
        <v>185</v>
      </c>
    </row>
    <row r="97" spans="1:4" s="9" customFormat="1" ht="12">
      <c r="A97" s="317" t="s">
        <v>186</v>
      </c>
      <c r="B97" s="318"/>
      <c r="C97" s="318"/>
      <c r="D97" s="318"/>
    </row>
    <row r="99" ht="12">
      <c r="A99" s="37" t="s">
        <v>795</v>
      </c>
    </row>
    <row r="100" ht="12">
      <c r="A100" s="37" t="s">
        <v>415</v>
      </c>
    </row>
    <row r="102" ht="12">
      <c r="A102" s="61" t="s">
        <v>797</v>
      </c>
    </row>
    <row r="103" ht="12">
      <c r="A103" s="9" t="s">
        <v>738</v>
      </c>
    </row>
    <row r="104" ht="12">
      <c r="A104" s="9" t="s">
        <v>798</v>
      </c>
    </row>
    <row r="105" ht="12">
      <c r="A105" s="37" t="s">
        <v>187</v>
      </c>
    </row>
    <row r="106" spans="2:3" ht="12">
      <c r="B106" s="14" t="s">
        <v>160</v>
      </c>
      <c r="C106" s="14" t="s">
        <v>161</v>
      </c>
    </row>
    <row r="107" spans="1:3" ht="12">
      <c r="A107" s="37" t="s">
        <v>739</v>
      </c>
      <c r="B107" s="242">
        <f>kab!I13</f>
        <v>119200</v>
      </c>
      <c r="C107" s="242">
        <f>B107*1</f>
        <v>119200</v>
      </c>
    </row>
    <row r="108" spans="1:3" ht="12">
      <c r="A108" s="37" t="s">
        <v>740</v>
      </c>
      <c r="B108" s="55">
        <f>kab!H13</f>
        <v>126300</v>
      </c>
      <c r="C108" s="55">
        <f>B108*8</f>
        <v>1010400</v>
      </c>
    </row>
    <row r="109" spans="1:3" ht="12">
      <c r="A109" s="37" t="s">
        <v>741</v>
      </c>
      <c r="B109" s="55">
        <f>kab!$H$15</f>
        <v>126300</v>
      </c>
      <c r="C109" s="55">
        <f>B109*1</f>
        <v>126300</v>
      </c>
    </row>
    <row r="110" spans="1:4" ht="12">
      <c r="A110" s="37" t="s">
        <v>188</v>
      </c>
      <c r="C110" s="55">
        <f>SUM(C107:C109)</f>
        <v>1255900</v>
      </c>
      <c r="D110" s="55">
        <f>ROUND(C110/1000,0)</f>
        <v>1256</v>
      </c>
    </row>
    <row r="112" spans="1:4" s="9" customFormat="1" ht="12">
      <c r="A112" s="37" t="s">
        <v>189</v>
      </c>
      <c r="B112" s="55">
        <v>0</v>
      </c>
      <c r="C112" s="55">
        <v>0</v>
      </c>
      <c r="D112" s="55">
        <v>0</v>
      </c>
    </row>
    <row r="114" spans="1:4" s="61" customFormat="1" ht="12">
      <c r="A114" s="9" t="s">
        <v>798</v>
      </c>
      <c r="B114" s="243"/>
      <c r="C114" s="243">
        <f>C110+C112</f>
        <v>1255900</v>
      </c>
      <c r="D114" s="243">
        <f>D110+D112</f>
        <v>1256</v>
      </c>
    </row>
    <row r="116" ht="12">
      <c r="A116" s="9" t="s">
        <v>163</v>
      </c>
    </row>
    <row r="118" spans="1:3" ht="12">
      <c r="A118" s="37" t="s">
        <v>166</v>
      </c>
      <c r="B118" s="55" t="s">
        <v>160</v>
      </c>
      <c r="C118" s="55" t="s">
        <v>161</v>
      </c>
    </row>
    <row r="119" spans="1:4" ht="12">
      <c r="A119" s="37" t="s">
        <v>190</v>
      </c>
      <c r="B119" s="55">
        <v>10000</v>
      </c>
      <c r="C119" s="55">
        <f>B119*12</f>
        <v>120000</v>
      </c>
      <c r="D119" s="55">
        <f>ROUND(C119/1000,0)</f>
        <v>120</v>
      </c>
    </row>
    <row r="120" spans="1:4" ht="12">
      <c r="A120" s="9" t="s">
        <v>17</v>
      </c>
      <c r="C120" s="55">
        <f>SUM(C119)</f>
        <v>120000</v>
      </c>
      <c r="D120" s="55">
        <f>SUM(D119)</f>
        <v>120</v>
      </c>
    </row>
    <row r="122" ht="12">
      <c r="A122" s="37" t="s">
        <v>170</v>
      </c>
    </row>
    <row r="123" spans="1:2" ht="12">
      <c r="A123" s="37" t="s">
        <v>171</v>
      </c>
      <c r="B123" s="55">
        <v>1</v>
      </c>
    </row>
    <row r="124" spans="1:2" ht="12">
      <c r="A124" s="37" t="s">
        <v>191</v>
      </c>
      <c r="B124" s="55">
        <v>12000</v>
      </c>
    </row>
    <row r="125" spans="1:4" ht="12">
      <c r="A125" s="37" t="s">
        <v>170</v>
      </c>
      <c r="C125" s="55">
        <f>B123*B124*12</f>
        <v>144000</v>
      </c>
      <c r="D125" s="55">
        <f>ROUND(C125/1000,0)</f>
        <v>144</v>
      </c>
    </row>
    <row r="127" spans="1:4" ht="12">
      <c r="A127" s="37" t="s">
        <v>172</v>
      </c>
      <c r="C127" s="55">
        <f>C119+C125</f>
        <v>264000</v>
      </c>
      <c r="D127" s="55">
        <f>D119+D125</f>
        <v>264</v>
      </c>
    </row>
    <row r="128" spans="1:4" s="61" customFormat="1" ht="12">
      <c r="A128" s="37"/>
      <c r="B128" s="55"/>
      <c r="C128" s="55"/>
      <c r="D128" s="55"/>
    </row>
    <row r="129" spans="1:4" ht="12">
      <c r="A129" s="9" t="s">
        <v>163</v>
      </c>
      <c r="B129" s="243"/>
      <c r="C129" s="243">
        <f>C127</f>
        <v>264000</v>
      </c>
      <c r="D129" s="243">
        <f>D127</f>
        <v>264</v>
      </c>
    </row>
    <row r="131" spans="1:4" ht="12">
      <c r="A131" s="61" t="s">
        <v>173</v>
      </c>
      <c r="B131" s="226"/>
      <c r="C131" s="226">
        <f>C114+C129</f>
        <v>1519900</v>
      </c>
      <c r="D131" s="226">
        <f>D114+D129</f>
        <v>1520</v>
      </c>
    </row>
    <row r="133" ht="12">
      <c r="A133" s="61" t="s">
        <v>174</v>
      </c>
    </row>
    <row r="134" spans="1:3" ht="12">
      <c r="A134" s="37" t="s">
        <v>1277</v>
      </c>
      <c r="B134" s="63" t="s">
        <v>175</v>
      </c>
      <c r="C134" s="63" t="s">
        <v>1129</v>
      </c>
    </row>
    <row r="135" spans="1:4" ht="12">
      <c r="A135" s="37" t="s">
        <v>1130</v>
      </c>
      <c r="B135" s="55">
        <f>C114</f>
        <v>1255900</v>
      </c>
      <c r="C135" s="55">
        <f>B135*24%</f>
        <v>301416</v>
      </c>
      <c r="D135" s="55">
        <f>ROUND(C135/1000,0)</f>
        <v>301</v>
      </c>
    </row>
    <row r="136" spans="2:3" ht="12">
      <c r="B136" s="63" t="s">
        <v>175</v>
      </c>
      <c r="C136" s="63" t="s">
        <v>1131</v>
      </c>
    </row>
    <row r="137" spans="1:4" ht="12">
      <c r="A137" s="37" t="s">
        <v>1132</v>
      </c>
      <c r="B137" s="55">
        <f>C114</f>
        <v>1255900</v>
      </c>
      <c r="C137" s="55">
        <f>B137*4.5%</f>
        <v>56515.5</v>
      </c>
      <c r="D137" s="55">
        <f>ROUND(C137/1000,0)</f>
        <v>57</v>
      </c>
    </row>
    <row r="138" spans="2:3" ht="12">
      <c r="B138" s="63" t="s">
        <v>175</v>
      </c>
      <c r="C138" s="63" t="s">
        <v>1134</v>
      </c>
    </row>
    <row r="139" spans="1:4" ht="12">
      <c r="A139" s="37" t="s">
        <v>1133</v>
      </c>
      <c r="B139" s="55">
        <f>C114</f>
        <v>1255900</v>
      </c>
      <c r="C139" s="55">
        <f>B139*0.5%</f>
        <v>6279.5</v>
      </c>
      <c r="D139" s="55">
        <f>ROUND(C139/1000,0)</f>
        <v>6</v>
      </c>
    </row>
    <row r="140" spans="1:4" ht="12">
      <c r="A140" s="37" t="s">
        <v>1135</v>
      </c>
      <c r="C140" s="55">
        <f>C135+C137+C139</f>
        <v>364211</v>
      </c>
      <c r="D140" s="55">
        <f>D135+D137+D139</f>
        <v>364</v>
      </c>
    </row>
    <row r="142" spans="2:3" ht="12">
      <c r="B142" s="63" t="s">
        <v>175</v>
      </c>
      <c r="C142" s="63" t="s">
        <v>176</v>
      </c>
    </row>
    <row r="143" spans="1:4" ht="12">
      <c r="A143" s="37" t="s">
        <v>177</v>
      </c>
      <c r="B143" s="55">
        <f>C114</f>
        <v>1255900</v>
      </c>
      <c r="C143" s="55">
        <f>B143*3%</f>
        <v>37677</v>
      </c>
      <c r="D143" s="55">
        <f>ROUND(C143/1000,0)</f>
        <v>38</v>
      </c>
    </row>
    <row r="145" ht="12">
      <c r="A145" s="37" t="s">
        <v>841</v>
      </c>
    </row>
    <row r="146" spans="1:2" ht="12">
      <c r="A146" s="37" t="s">
        <v>842</v>
      </c>
      <c r="B146" s="55">
        <v>1</v>
      </c>
    </row>
    <row r="147" spans="1:3" ht="12">
      <c r="A147" s="37" t="s">
        <v>1228</v>
      </c>
      <c r="B147" s="55">
        <v>1950</v>
      </c>
      <c r="C147" s="55">
        <f>B146*B147*12</f>
        <v>23400</v>
      </c>
    </row>
    <row r="148" spans="2:3" ht="12">
      <c r="B148" s="14" t="s">
        <v>1150</v>
      </c>
      <c r="C148" s="14" t="s">
        <v>2</v>
      </c>
    </row>
    <row r="149" ht="12">
      <c r="A149" s="37" t="s">
        <v>1</v>
      </c>
    </row>
    <row r="150" spans="1:4" s="61" customFormat="1" ht="12">
      <c r="A150" s="37" t="s">
        <v>841</v>
      </c>
      <c r="B150" s="55"/>
      <c r="C150" s="55">
        <f>C147+C149</f>
        <v>23400</v>
      </c>
      <c r="D150" s="55">
        <f>ROUND(C150/1000,0)-1</f>
        <v>22</v>
      </c>
    </row>
    <row r="152" spans="1:4" s="61" customFormat="1" ht="12">
      <c r="A152" s="61" t="s">
        <v>843</v>
      </c>
      <c r="B152" s="226"/>
      <c r="C152" s="226">
        <f>C135+C137+C139+C143+C150</f>
        <v>425288</v>
      </c>
      <c r="D152" s="226">
        <f>D135+D137+D139+D143+D150</f>
        <v>424</v>
      </c>
    </row>
    <row r="154" ht="12">
      <c r="A154" s="61" t="s">
        <v>844</v>
      </c>
    </row>
    <row r="156" ht="12">
      <c r="A156" s="37" t="s">
        <v>845</v>
      </c>
    </row>
    <row r="157" spans="2:3" ht="12">
      <c r="B157" s="13" t="s">
        <v>1196</v>
      </c>
      <c r="C157" s="63" t="s">
        <v>1197</v>
      </c>
    </row>
    <row r="158" spans="1:4" ht="12">
      <c r="A158" s="37" t="s">
        <v>192</v>
      </c>
      <c r="B158" s="13">
        <v>10084</v>
      </c>
      <c r="C158" s="55">
        <v>10000</v>
      </c>
      <c r="D158" s="55">
        <f>ROUND(C158/1000,0)</f>
        <v>10</v>
      </c>
    </row>
    <row r="159" spans="1:4" ht="12">
      <c r="A159" s="37" t="s">
        <v>193</v>
      </c>
      <c r="B159" s="13"/>
      <c r="D159" s="55">
        <f aca="true" t="shared" si="0" ref="D159:D164">ROUND(C159/1000,0)</f>
        <v>0</v>
      </c>
    </row>
    <row r="160" spans="1:4" ht="12">
      <c r="A160" s="37" t="s">
        <v>846</v>
      </c>
      <c r="B160" s="13">
        <v>0</v>
      </c>
      <c r="C160" s="55">
        <v>5000</v>
      </c>
      <c r="D160" s="55">
        <f t="shared" si="0"/>
        <v>5</v>
      </c>
    </row>
    <row r="161" spans="1:4" ht="12">
      <c r="A161" s="37" t="s">
        <v>13</v>
      </c>
      <c r="B161" s="13">
        <v>4417</v>
      </c>
      <c r="C161" s="55">
        <v>5000</v>
      </c>
      <c r="D161" s="55">
        <f t="shared" si="0"/>
        <v>5</v>
      </c>
    </row>
    <row r="162" spans="1:4" ht="12">
      <c r="A162" s="37" t="s">
        <v>14</v>
      </c>
      <c r="B162" s="13">
        <v>0</v>
      </c>
      <c r="C162" s="55">
        <v>10000</v>
      </c>
      <c r="D162" s="55">
        <f t="shared" si="0"/>
        <v>10</v>
      </c>
    </row>
    <row r="163" spans="1:4" ht="12">
      <c r="A163" s="37" t="s">
        <v>194</v>
      </c>
      <c r="B163" s="13"/>
      <c r="D163" s="55">
        <f t="shared" si="0"/>
        <v>0</v>
      </c>
    </row>
    <row r="164" spans="1:4" ht="12">
      <c r="A164" s="37" t="s">
        <v>143</v>
      </c>
      <c r="B164" s="13"/>
      <c r="C164" s="55">
        <v>10000</v>
      </c>
      <c r="D164" s="55">
        <f t="shared" si="0"/>
        <v>10</v>
      </c>
    </row>
    <row r="165" spans="1:2" ht="12">
      <c r="A165" s="37" t="s">
        <v>742</v>
      </c>
      <c r="B165" s="13"/>
    </row>
    <row r="166" spans="1:4" ht="12">
      <c r="A166" s="37" t="s">
        <v>845</v>
      </c>
      <c r="B166" s="13">
        <f>SUM(B158:B165)</f>
        <v>14501</v>
      </c>
      <c r="C166" s="55">
        <f>SUM(C158:C165)</f>
        <v>40000</v>
      </c>
      <c r="D166" s="55">
        <f>SUM(D158:D165)</f>
        <v>40</v>
      </c>
    </row>
    <row r="167" ht="12">
      <c r="B167" s="16"/>
    </row>
    <row r="168" spans="1:3" ht="12">
      <c r="A168" s="37" t="s">
        <v>847</v>
      </c>
      <c r="B168" s="13" t="s">
        <v>1196</v>
      </c>
      <c r="C168" s="63" t="s">
        <v>1197</v>
      </c>
    </row>
    <row r="169" spans="1:4" ht="12">
      <c r="A169" s="37" t="s">
        <v>195</v>
      </c>
      <c r="B169" s="13">
        <v>67667</v>
      </c>
      <c r="C169" s="55">
        <v>45000</v>
      </c>
      <c r="D169" s="55">
        <f aca="true" t="shared" si="1" ref="D169:D174">ROUND(C169/1000,0)</f>
        <v>45</v>
      </c>
    </row>
    <row r="170" spans="1:4" s="61" customFormat="1" ht="12">
      <c r="A170" s="37" t="s">
        <v>152</v>
      </c>
      <c r="B170" s="13">
        <v>121059</v>
      </c>
      <c r="C170" s="55">
        <v>150000</v>
      </c>
      <c r="D170" s="55">
        <f t="shared" si="1"/>
        <v>150</v>
      </c>
    </row>
    <row r="171" spans="1:4" ht="12">
      <c r="A171" s="37" t="s">
        <v>1160</v>
      </c>
      <c r="B171" s="13">
        <v>93399</v>
      </c>
      <c r="C171" s="55">
        <v>60000</v>
      </c>
      <c r="D171" s="55">
        <f t="shared" si="1"/>
        <v>60</v>
      </c>
    </row>
    <row r="172" spans="1:4" ht="12">
      <c r="A172" s="37" t="s">
        <v>1162</v>
      </c>
      <c r="B172" s="13">
        <v>2720</v>
      </c>
      <c r="C172" s="55">
        <v>5000</v>
      </c>
      <c r="D172" s="55">
        <f t="shared" si="1"/>
        <v>5</v>
      </c>
    </row>
    <row r="173" spans="1:4" ht="12">
      <c r="A173" s="37" t="s">
        <v>196</v>
      </c>
      <c r="B173" s="13"/>
      <c r="C173" s="55">
        <v>5000</v>
      </c>
      <c r="D173" s="55">
        <f t="shared" si="1"/>
        <v>5</v>
      </c>
    </row>
    <row r="174" spans="1:4" ht="12">
      <c r="A174" s="37" t="s">
        <v>849</v>
      </c>
      <c r="B174" s="13">
        <v>2000</v>
      </c>
      <c r="C174" s="55">
        <v>5000</v>
      </c>
      <c r="D174" s="55">
        <f t="shared" si="1"/>
        <v>5</v>
      </c>
    </row>
    <row r="175" spans="1:4" ht="12">
      <c r="A175" s="37" t="s">
        <v>847</v>
      </c>
      <c r="B175" s="243">
        <f>SUM(B169:B174)</f>
        <v>286845</v>
      </c>
      <c r="C175" s="55">
        <f>SUM(C169:C174)</f>
        <v>270000</v>
      </c>
      <c r="D175" s="55">
        <f>SUM(D169:D174)</f>
        <v>270</v>
      </c>
    </row>
    <row r="176" ht="39.75" customHeight="1"/>
    <row r="177" spans="1:3" ht="12">
      <c r="A177" s="37" t="s">
        <v>852</v>
      </c>
      <c r="B177" s="14" t="s">
        <v>853</v>
      </c>
      <c r="C177" s="14" t="s">
        <v>854</v>
      </c>
    </row>
    <row r="178" spans="1:4" ht="12">
      <c r="A178" s="37" t="s">
        <v>855</v>
      </c>
      <c r="B178" s="55">
        <f>C158</f>
        <v>10000</v>
      </c>
      <c r="C178" s="55">
        <f>B178*5%</f>
        <v>500</v>
      </c>
      <c r="D178" s="55">
        <f>ROUND(C178/1000,0)</f>
        <v>1</v>
      </c>
    </row>
    <row r="179" spans="1:4" ht="12">
      <c r="A179" s="37" t="s">
        <v>507</v>
      </c>
      <c r="B179" s="55">
        <f>(C166+C175)-C158</f>
        <v>300000</v>
      </c>
      <c r="C179" s="55">
        <f>B179*20%</f>
        <v>60000</v>
      </c>
      <c r="D179" s="55">
        <f>ROUND(C179/1000,0)</f>
        <v>60</v>
      </c>
    </row>
    <row r="180" spans="1:4" ht="12">
      <c r="A180" s="37" t="s">
        <v>852</v>
      </c>
      <c r="C180" s="55">
        <f>SUM(C178:C179)</f>
        <v>60500</v>
      </c>
      <c r="D180" s="55">
        <f>SUM(D178:D179)</f>
        <v>61</v>
      </c>
    </row>
    <row r="181" ht="12">
      <c r="B181" s="63" t="s">
        <v>1302</v>
      </c>
    </row>
    <row r="182" spans="1:4" ht="12">
      <c r="A182" s="37" t="s">
        <v>302</v>
      </c>
      <c r="B182" s="55">
        <v>3964</v>
      </c>
      <c r="C182" s="55">
        <v>5000</v>
      </c>
      <c r="D182" s="55">
        <f>ROUND(C182/1000,0)</f>
        <v>5</v>
      </c>
    </row>
    <row r="184" spans="1:4" ht="12">
      <c r="A184" s="37" t="s">
        <v>303</v>
      </c>
      <c r="B184" s="55">
        <v>1865</v>
      </c>
      <c r="C184" s="55">
        <v>5000</v>
      </c>
      <c r="D184" s="55">
        <f>ROUND(C184/1000,0)</f>
        <v>5</v>
      </c>
    </row>
    <row r="186" spans="1:4" ht="12">
      <c r="A186" s="61" t="s">
        <v>304</v>
      </c>
      <c r="B186" s="226"/>
      <c r="C186" s="226">
        <f>C166+C175+C180+C182+C184</f>
        <v>380500</v>
      </c>
      <c r="D186" s="226">
        <f>D166+D175+D180+D182+D184</f>
        <v>381</v>
      </c>
    </row>
    <row r="188" spans="1:4" ht="12">
      <c r="A188" s="61" t="s">
        <v>197</v>
      </c>
      <c r="B188" s="226"/>
      <c r="C188" s="226">
        <f>C131+C152+C186</f>
        <v>2325688</v>
      </c>
      <c r="D188" s="226">
        <f>D131+D152+D186</f>
        <v>2325</v>
      </c>
    </row>
    <row r="191" ht="12">
      <c r="A191" s="61" t="s">
        <v>1075</v>
      </c>
    </row>
    <row r="192" ht="24.75" customHeight="1"/>
    <row r="193" spans="1:4" ht="38.25" customHeight="1">
      <c r="A193" s="317" t="s">
        <v>117</v>
      </c>
      <c r="B193" s="318"/>
      <c r="C193" s="318"/>
      <c r="D193" s="318"/>
    </row>
    <row r="195" ht="12">
      <c r="A195" s="37" t="s">
        <v>795</v>
      </c>
    </row>
    <row r="196" ht="12">
      <c r="A196" s="37" t="s">
        <v>796</v>
      </c>
    </row>
    <row r="198" spans="1:2" ht="12">
      <c r="A198" s="37" t="s">
        <v>183</v>
      </c>
      <c r="B198" s="63" t="s">
        <v>1302</v>
      </c>
    </row>
    <row r="199" spans="1:3" ht="12">
      <c r="A199" s="37" t="s">
        <v>1347</v>
      </c>
      <c r="B199" s="63"/>
      <c r="C199" s="55">
        <v>1140604</v>
      </c>
    </row>
    <row r="200" spans="1:3" ht="12">
      <c r="A200" s="37" t="s">
        <v>1346</v>
      </c>
      <c r="B200" s="63">
        <v>0</v>
      </c>
      <c r="C200" s="55">
        <v>600000</v>
      </c>
    </row>
    <row r="201" spans="1:4" ht="12">
      <c r="A201" s="37" t="s">
        <v>18</v>
      </c>
      <c r="C201" s="55">
        <f>SUM(C199:C200)</f>
        <v>1740604</v>
      </c>
      <c r="D201" s="55">
        <f>ROUND(C201/1000,0)</f>
        <v>1741</v>
      </c>
    </row>
    <row r="203" spans="1:4" ht="12">
      <c r="A203" s="37" t="s">
        <v>568</v>
      </c>
      <c r="C203" s="55">
        <v>16660</v>
      </c>
      <c r="D203" s="55">
        <f>ROUND(C203/1000,0)</f>
        <v>17</v>
      </c>
    </row>
    <row r="205" spans="1:4" ht="12">
      <c r="A205" s="61" t="s">
        <v>1074</v>
      </c>
      <c r="B205" s="226"/>
      <c r="C205" s="226">
        <f>C201+C203</f>
        <v>1757264</v>
      </c>
      <c r="D205" s="226">
        <f>D201+D203</f>
        <v>1758</v>
      </c>
    </row>
    <row r="207" ht="12">
      <c r="A207" s="61" t="s">
        <v>1348</v>
      </c>
    </row>
    <row r="209" spans="1:4" ht="12">
      <c r="A209" s="317" t="s">
        <v>1349</v>
      </c>
      <c r="B209" s="318"/>
      <c r="C209" s="318"/>
      <c r="D209" s="318"/>
    </row>
    <row r="210" spans="1:4" ht="12">
      <c r="A210" s="317" t="s">
        <v>1350</v>
      </c>
      <c r="B210" s="318"/>
      <c r="C210" s="318"/>
      <c r="D210" s="318"/>
    </row>
    <row r="212" ht="12">
      <c r="A212" s="37" t="s">
        <v>795</v>
      </c>
    </row>
    <row r="213" ht="12">
      <c r="A213" s="37" t="s">
        <v>963</v>
      </c>
    </row>
    <row r="215" ht="12">
      <c r="A215" s="37" t="s">
        <v>992</v>
      </c>
    </row>
    <row r="218" ht="12">
      <c r="A218" s="37" t="s">
        <v>716</v>
      </c>
    </row>
    <row r="219" ht="12">
      <c r="A219" s="9" t="s">
        <v>997</v>
      </c>
    </row>
    <row r="221" ht="12">
      <c r="A221" s="37" t="s">
        <v>998</v>
      </c>
    </row>
    <row r="222" spans="1:2" ht="12">
      <c r="A222" s="37" t="s">
        <v>993</v>
      </c>
      <c r="B222" s="55">
        <f>rszs!$C$24</f>
        <v>1</v>
      </c>
    </row>
    <row r="223" spans="1:2" ht="12">
      <c r="A223" s="37" t="s">
        <v>1351</v>
      </c>
      <c r="B223" s="55">
        <f>rszs!$D$22*105%</f>
        <v>6367.2</v>
      </c>
    </row>
    <row r="224" spans="2:3" ht="12">
      <c r="B224" s="14" t="s">
        <v>343</v>
      </c>
      <c r="C224" s="14" t="s">
        <v>161</v>
      </c>
    </row>
    <row r="225" spans="1:3" ht="12">
      <c r="A225" s="37" t="s">
        <v>994</v>
      </c>
      <c r="B225" s="55">
        <v>6064</v>
      </c>
      <c r="C225" s="55">
        <f>B225*1</f>
        <v>6064</v>
      </c>
    </row>
    <row r="226" spans="1:3" ht="12">
      <c r="A226" s="37" t="s">
        <v>996</v>
      </c>
      <c r="B226" s="55">
        <f>B222*B223</f>
        <v>6367.2</v>
      </c>
      <c r="C226" s="55">
        <f>B226*11</f>
        <v>70039.2</v>
      </c>
    </row>
    <row r="227" spans="1:4" ht="12">
      <c r="A227" s="37" t="s">
        <v>998</v>
      </c>
      <c r="C227" s="55">
        <f>SUM(C225:C226)</f>
        <v>76103.2</v>
      </c>
      <c r="D227" s="55">
        <f>ROUND(C227/1000,0)</f>
        <v>76</v>
      </c>
    </row>
    <row r="230" spans="1:4" ht="12">
      <c r="A230" s="37" t="s">
        <v>999</v>
      </c>
      <c r="C230" s="55">
        <f>C227</f>
        <v>76103.2</v>
      </c>
      <c r="D230" s="55">
        <f>D227</f>
        <v>76</v>
      </c>
    </row>
    <row r="232" ht="12">
      <c r="A232" s="37" t="s">
        <v>1000</v>
      </c>
    </row>
    <row r="234" ht="12">
      <c r="A234" s="37" t="s">
        <v>1008</v>
      </c>
    </row>
    <row r="235" ht="12">
      <c r="A235" s="9" t="s">
        <v>1035</v>
      </c>
    </row>
    <row r="237" spans="1:2" ht="12">
      <c r="A237" s="37" t="s">
        <v>993</v>
      </c>
      <c r="B237" s="55">
        <f>náp!$B$20</f>
        <v>1</v>
      </c>
    </row>
    <row r="238" spans="1:2" ht="12">
      <c r="A238" s="37" t="s">
        <v>1036</v>
      </c>
      <c r="B238" s="55">
        <v>28500</v>
      </c>
    </row>
    <row r="239" spans="2:3" ht="12">
      <c r="B239" s="14" t="s">
        <v>343</v>
      </c>
      <c r="C239" s="14" t="s">
        <v>161</v>
      </c>
    </row>
    <row r="240" spans="1:3" ht="12">
      <c r="A240" s="37" t="s">
        <v>994</v>
      </c>
      <c r="B240" s="55">
        <f>náp!E22</f>
        <v>27130</v>
      </c>
      <c r="C240" s="55">
        <f>B240*1</f>
        <v>27130</v>
      </c>
    </row>
    <row r="241" spans="1:3" ht="12">
      <c r="A241" s="37" t="s">
        <v>996</v>
      </c>
      <c r="B241" s="55">
        <f>B237*B238</f>
        <v>28500</v>
      </c>
      <c r="C241" s="55">
        <f>B241*11</f>
        <v>313500</v>
      </c>
    </row>
    <row r="242" spans="3:4" ht="12">
      <c r="C242" s="55">
        <f>SUM(C240:C241)</f>
        <v>340630</v>
      </c>
      <c r="D242" s="55">
        <f>ROUND(C242/1000,0)</f>
        <v>341</v>
      </c>
    </row>
    <row r="244" spans="1:4" s="61" customFormat="1" ht="12">
      <c r="A244" s="37"/>
      <c r="B244" s="14" t="s">
        <v>1037</v>
      </c>
      <c r="C244" s="14" t="s">
        <v>1038</v>
      </c>
      <c r="D244" s="55"/>
    </row>
    <row r="245" spans="1:4" ht="12">
      <c r="A245" s="37" t="s">
        <v>1356</v>
      </c>
      <c r="B245" s="55">
        <f>C242</f>
        <v>340630</v>
      </c>
      <c r="C245" s="55">
        <f>B245*21%</f>
        <v>71532.3</v>
      </c>
      <c r="D245" s="55">
        <f>ROUND(C245/1000,0)-1</f>
        <v>71</v>
      </c>
    </row>
    <row r="247" ht="12">
      <c r="A247" s="9" t="s">
        <v>1090</v>
      </c>
    </row>
    <row r="248" spans="1:2" ht="12">
      <c r="A248" s="37" t="s">
        <v>993</v>
      </c>
      <c r="B248" s="55">
        <f>fáp!$B$20</f>
        <v>4</v>
      </c>
    </row>
    <row r="249" spans="1:2" ht="12">
      <c r="A249" s="37" t="s">
        <v>1089</v>
      </c>
      <c r="B249" s="55">
        <f>B238*130%</f>
        <v>37050</v>
      </c>
    </row>
    <row r="250" spans="2:3" ht="12">
      <c r="B250" s="14" t="s">
        <v>343</v>
      </c>
      <c r="C250" s="14" t="s">
        <v>161</v>
      </c>
    </row>
    <row r="251" spans="1:3" ht="12">
      <c r="A251" s="37" t="s">
        <v>994</v>
      </c>
      <c r="B251" s="55">
        <f>náp!F22</f>
        <v>108520</v>
      </c>
      <c r="C251" s="55">
        <f>B251*1</f>
        <v>108520</v>
      </c>
    </row>
    <row r="252" spans="1:3" ht="12">
      <c r="A252" s="37" t="s">
        <v>996</v>
      </c>
      <c r="B252" s="55">
        <f>B248*B249</f>
        <v>148200</v>
      </c>
      <c r="C252" s="55">
        <f>B252*11</f>
        <v>1630200</v>
      </c>
    </row>
    <row r="253" spans="3:4" ht="12">
      <c r="C253" s="55">
        <f>SUM(C251:C252)</f>
        <v>1738720</v>
      </c>
      <c r="D253" s="55">
        <f>ROUND(C253/1000,0)</f>
        <v>1739</v>
      </c>
    </row>
    <row r="255" spans="2:3" ht="12">
      <c r="B255" s="14" t="s">
        <v>1037</v>
      </c>
      <c r="C255" s="14" t="s">
        <v>1038</v>
      </c>
    </row>
    <row r="256" spans="1:4" ht="12">
      <c r="A256" s="37" t="s">
        <v>1356</v>
      </c>
      <c r="B256" s="55">
        <f>C253</f>
        <v>1738720</v>
      </c>
      <c r="C256" s="55">
        <f>B256*21%</f>
        <v>365131.2</v>
      </c>
      <c r="D256" s="55">
        <f>ROUND(C256/1000,0)</f>
        <v>365</v>
      </c>
    </row>
    <row r="258" spans="1:4" ht="12">
      <c r="A258" s="37" t="s">
        <v>1039</v>
      </c>
      <c r="C258" s="55">
        <f>C242+C245+C253+C256</f>
        <v>2516013.5</v>
      </c>
      <c r="D258" s="55">
        <f>D242+D245+D253+D256</f>
        <v>2516</v>
      </c>
    </row>
    <row r="260" ht="12">
      <c r="A260" s="37" t="s">
        <v>1040</v>
      </c>
    </row>
    <row r="261" ht="12">
      <c r="A261" s="9" t="s">
        <v>1041</v>
      </c>
    </row>
    <row r="263" spans="1:2" ht="12">
      <c r="A263" s="37" t="s">
        <v>993</v>
      </c>
      <c r="B263" s="55">
        <f>máp!$B$20</f>
        <v>8</v>
      </c>
    </row>
    <row r="264" spans="1:2" ht="12">
      <c r="A264" s="37" t="s">
        <v>1042</v>
      </c>
      <c r="B264" s="55">
        <f>B238*80%</f>
        <v>22800</v>
      </c>
    </row>
    <row r="265" spans="2:3" ht="12">
      <c r="B265" s="14" t="s">
        <v>343</v>
      </c>
      <c r="C265" s="14" t="s">
        <v>161</v>
      </c>
    </row>
    <row r="266" spans="1:3" ht="12">
      <c r="A266" s="37" t="s">
        <v>994</v>
      </c>
      <c r="B266" s="55">
        <f>máp!$E$22</f>
        <v>130224</v>
      </c>
      <c r="C266" s="55">
        <f>B266*1</f>
        <v>130224</v>
      </c>
    </row>
    <row r="267" spans="1:3" ht="12">
      <c r="A267" s="37" t="s">
        <v>996</v>
      </c>
      <c r="B267" s="55">
        <f>B263*B264</f>
        <v>182400</v>
      </c>
      <c r="C267" s="55">
        <f>B267*11</f>
        <v>2006400</v>
      </c>
    </row>
    <row r="268" spans="3:4" ht="12">
      <c r="C268" s="55">
        <f>SUM(C266:C267)</f>
        <v>2136624</v>
      </c>
      <c r="D268" s="55">
        <f>ROUND(C268/1000,0)-1</f>
        <v>2136</v>
      </c>
    </row>
    <row r="270" spans="2:3" ht="12">
      <c r="B270" s="14" t="s">
        <v>1037</v>
      </c>
      <c r="C270" s="14" t="s">
        <v>1038</v>
      </c>
    </row>
    <row r="271" spans="1:4" ht="12">
      <c r="A271" s="37" t="s">
        <v>1356</v>
      </c>
      <c r="B271" s="55">
        <f>C268</f>
        <v>2136624</v>
      </c>
      <c r="C271" s="55">
        <f>B271*21%</f>
        <v>448691.04</v>
      </c>
      <c r="D271" s="55">
        <f>ROUND(C271/1000,0)</f>
        <v>449</v>
      </c>
    </row>
    <row r="273" spans="1:4" ht="12">
      <c r="A273" s="37" t="s">
        <v>1040</v>
      </c>
      <c r="C273" s="55">
        <f>C268+C271</f>
        <v>2585315.04</v>
      </c>
      <c r="D273" s="55">
        <f>D268+D271</f>
        <v>2585</v>
      </c>
    </row>
    <row r="275" spans="1:4" ht="24" customHeight="1">
      <c r="A275" s="37" t="s">
        <v>215</v>
      </c>
      <c r="C275" s="55">
        <f>C258+C273</f>
        <v>5101328.54</v>
      </c>
      <c r="D275" s="55">
        <f>D258+D273</f>
        <v>5101</v>
      </c>
    </row>
    <row r="277" ht="12">
      <c r="A277" s="37" t="s">
        <v>216</v>
      </c>
    </row>
    <row r="278" ht="12">
      <c r="A278" s="9" t="s">
        <v>539</v>
      </c>
    </row>
    <row r="279" spans="1:2" ht="12">
      <c r="A279" s="37" t="s">
        <v>993</v>
      </c>
      <c r="B279" s="55">
        <f>lft!$B$21</f>
        <v>38</v>
      </c>
    </row>
    <row r="280" spans="1:2" ht="12">
      <c r="A280" s="37" t="s">
        <v>1358</v>
      </c>
      <c r="B280" s="55">
        <f>lft!$C$22</f>
        <v>5433.076373033804</v>
      </c>
    </row>
    <row r="281" spans="2:3" ht="12">
      <c r="B281" s="14" t="s">
        <v>343</v>
      </c>
      <c r="C281" s="14" t="s">
        <v>161</v>
      </c>
    </row>
    <row r="282" spans="1:3" ht="12">
      <c r="A282" s="37" t="s">
        <v>994</v>
      </c>
      <c r="B282" s="55">
        <f>lft!$D$23</f>
        <v>204600</v>
      </c>
      <c r="C282" s="55">
        <f>B282*1</f>
        <v>204600</v>
      </c>
    </row>
    <row r="283" spans="1:3" ht="12">
      <c r="A283" s="37" t="s">
        <v>996</v>
      </c>
      <c r="B283" s="55">
        <f>B279*B280</f>
        <v>206456.90217528454</v>
      </c>
      <c r="C283" s="55">
        <f>B283*11</f>
        <v>2271025.92392813</v>
      </c>
    </row>
    <row r="284" spans="1:4" ht="12">
      <c r="A284" s="37" t="s">
        <v>216</v>
      </c>
      <c r="C284" s="55">
        <f>SUM(C282:C283)</f>
        <v>2475625.92392813</v>
      </c>
      <c r="D284" s="55">
        <f>ROUND(C284/1000,0)</f>
        <v>2476</v>
      </c>
    </row>
    <row r="286" spans="1:4" ht="12">
      <c r="A286" s="37" t="s">
        <v>217</v>
      </c>
      <c r="C286" s="55">
        <f>C230+C275+C284</f>
        <v>7653057.663928131</v>
      </c>
      <c r="D286" s="55">
        <f>D230+D275+D284</f>
        <v>7653</v>
      </c>
    </row>
    <row r="288" spans="1:4" ht="12">
      <c r="A288" s="61" t="s">
        <v>1359</v>
      </c>
      <c r="B288" s="226"/>
      <c r="C288" s="226">
        <f>C286</f>
        <v>7653057.663928131</v>
      </c>
      <c r="D288" s="226">
        <f>D286</f>
        <v>7653</v>
      </c>
    </row>
    <row r="290" spans="1:4" s="61" customFormat="1" ht="12">
      <c r="A290" s="61" t="s">
        <v>1360</v>
      </c>
      <c r="B290" s="55"/>
      <c r="C290" s="55"/>
      <c r="D290" s="55"/>
    </row>
    <row r="292" spans="1:4" ht="12.75">
      <c r="A292" s="317" t="s">
        <v>1361</v>
      </c>
      <c r="B292" s="320"/>
      <c r="C292" s="320"/>
      <c r="D292" s="320"/>
    </row>
    <row r="294" ht="36.75" customHeight="1">
      <c r="A294" s="37" t="s">
        <v>795</v>
      </c>
    </row>
    <row r="295" ht="12">
      <c r="A295" s="37" t="s">
        <v>643</v>
      </c>
    </row>
    <row r="297" ht="12">
      <c r="A297" s="37" t="s">
        <v>1362</v>
      </c>
    </row>
    <row r="299" ht="12">
      <c r="A299" s="9" t="s">
        <v>997</v>
      </c>
    </row>
    <row r="300" spans="1:2" ht="12">
      <c r="A300" s="37" t="s">
        <v>993</v>
      </c>
      <c r="B300" s="55">
        <f>rszs!H24</f>
        <v>39</v>
      </c>
    </row>
    <row r="301" spans="1:2" ht="12">
      <c r="A301" s="37" t="s">
        <v>1358</v>
      </c>
      <c r="B301" s="55">
        <f>rszs!I22*105%</f>
        <v>25725.40207877462</v>
      </c>
    </row>
    <row r="302" spans="2:3" ht="12">
      <c r="B302" s="14" t="s">
        <v>343</v>
      </c>
      <c r="C302" s="14" t="s">
        <v>161</v>
      </c>
    </row>
    <row r="303" spans="1:3" ht="12">
      <c r="A303" s="37" t="s">
        <v>994</v>
      </c>
      <c r="B303" s="14">
        <f>rszs!I26</f>
        <v>989886</v>
      </c>
      <c r="C303" s="14">
        <f>B303*1</f>
        <v>989886</v>
      </c>
    </row>
    <row r="304" spans="1:3" ht="12">
      <c r="A304" s="37" t="s">
        <v>996</v>
      </c>
      <c r="B304" s="14">
        <f>B300*B301</f>
        <v>1003290.6810722102</v>
      </c>
      <c r="C304" s="14">
        <f>B304*11</f>
        <v>11036197.491794312</v>
      </c>
    </row>
    <row r="305" spans="1:4" ht="12">
      <c r="A305" s="37" t="s">
        <v>1362</v>
      </c>
      <c r="C305" s="55">
        <f>SUM(C303:C304)</f>
        <v>12026083.491794312</v>
      </c>
      <c r="D305" s="55">
        <f>ROUND(C305/1000,0)</f>
        <v>12026</v>
      </c>
    </row>
    <row r="307" spans="1:4" ht="12">
      <c r="A307" s="61" t="s">
        <v>1363</v>
      </c>
      <c r="B307" s="226"/>
      <c r="C307" s="226">
        <f>C305</f>
        <v>12026083.491794312</v>
      </c>
      <c r="D307" s="226">
        <f>D305</f>
        <v>12026</v>
      </c>
    </row>
    <row r="309" ht="12">
      <c r="A309" s="61" t="s">
        <v>571</v>
      </c>
    </row>
    <row r="311" spans="1:4" ht="12">
      <c r="A311" s="317" t="s">
        <v>354</v>
      </c>
      <c r="B311" s="318"/>
      <c r="C311" s="318"/>
      <c r="D311" s="318"/>
    </row>
    <row r="313" ht="12">
      <c r="A313" s="37" t="s">
        <v>795</v>
      </c>
    </row>
    <row r="314" ht="12">
      <c r="A314" s="37" t="s">
        <v>643</v>
      </c>
    </row>
    <row r="315" spans="1:4" s="61" customFormat="1" ht="12">
      <c r="A315" s="37"/>
      <c r="B315" s="55"/>
      <c r="C315" s="55"/>
      <c r="D315" s="55"/>
    </row>
    <row r="316" ht="12">
      <c r="A316" s="37" t="s">
        <v>355</v>
      </c>
    </row>
    <row r="317" ht="12">
      <c r="B317" s="63" t="s">
        <v>1364</v>
      </c>
    </row>
    <row r="318" spans="1:4" s="145" customFormat="1" ht="12">
      <c r="A318" s="37" t="s">
        <v>356</v>
      </c>
      <c r="B318" s="285"/>
      <c r="C318" s="279"/>
      <c r="D318" s="279"/>
    </row>
    <row r="319" spans="1:3" ht="12">
      <c r="A319" s="37" t="s">
        <v>357</v>
      </c>
      <c r="B319" s="13">
        <v>297000</v>
      </c>
      <c r="C319" s="55">
        <v>320000</v>
      </c>
    </row>
    <row r="320" spans="1:3" ht="12">
      <c r="A320" s="37" t="s">
        <v>358</v>
      </c>
      <c r="B320" s="13">
        <v>66000</v>
      </c>
      <c r="C320" s="55">
        <v>66000</v>
      </c>
    </row>
    <row r="321" spans="1:3" ht="12">
      <c r="A321" s="37" t="s">
        <v>359</v>
      </c>
      <c r="B321" s="13"/>
      <c r="C321" s="55">
        <v>200000</v>
      </c>
    </row>
    <row r="322" spans="1:2" ht="12">
      <c r="A322" s="37" t="s">
        <v>118</v>
      </c>
      <c r="B322" s="13"/>
    </row>
    <row r="323" spans="1:2" ht="12">
      <c r="A323" s="37" t="s">
        <v>1141</v>
      </c>
      <c r="B323" s="13"/>
    </row>
    <row r="324" spans="1:2" ht="12">
      <c r="A324" s="37" t="s">
        <v>1142</v>
      </c>
      <c r="B324" s="13"/>
    </row>
    <row r="325" spans="1:3" ht="12">
      <c r="A325" s="37" t="s">
        <v>1143</v>
      </c>
      <c r="B325" s="13">
        <v>192500</v>
      </c>
      <c r="C325" s="55">
        <v>193000</v>
      </c>
    </row>
    <row r="326" spans="1:2" ht="12">
      <c r="A326" s="37" t="s">
        <v>1144</v>
      </c>
      <c r="B326" s="13"/>
    </row>
    <row r="327" spans="1:4" ht="12">
      <c r="A327" s="37" t="s">
        <v>355</v>
      </c>
      <c r="B327" s="13">
        <f>SUM(B319:B326)</f>
        <v>555500</v>
      </c>
      <c r="C327" s="55">
        <f>SUM(C319:C326)</f>
        <v>779000</v>
      </c>
      <c r="D327" s="55">
        <f>ROUND(C327/1000,0)</f>
        <v>779</v>
      </c>
    </row>
    <row r="328" ht="12">
      <c r="B328" s="243"/>
    </row>
    <row r="329" spans="1:2" ht="12">
      <c r="A329" s="37" t="s">
        <v>1145</v>
      </c>
      <c r="B329" s="243"/>
    </row>
    <row r="330" spans="1:4" ht="12">
      <c r="A330" s="37" t="s">
        <v>1146</v>
      </c>
      <c r="B330" s="13"/>
      <c r="C330" s="55">
        <v>150000</v>
      </c>
      <c r="D330" s="55">
        <f>ROUND(C330/1000,0)</f>
        <v>150</v>
      </c>
    </row>
    <row r="331" spans="1:4" ht="12">
      <c r="A331" s="37" t="s">
        <v>1093</v>
      </c>
      <c r="B331" s="13">
        <v>28368</v>
      </c>
      <c r="C331" s="55">
        <v>30000</v>
      </c>
      <c r="D331" s="55">
        <f>ROUND(C331/1000,0)</f>
        <v>30</v>
      </c>
    </row>
    <row r="332" spans="1:2" ht="12">
      <c r="A332" s="37" t="s">
        <v>473</v>
      </c>
      <c r="B332" s="13"/>
    </row>
    <row r="333" ht="12">
      <c r="A333" s="37" t="s">
        <v>120</v>
      </c>
    </row>
    <row r="334" ht="12">
      <c r="A334" s="37" t="s">
        <v>1147</v>
      </c>
    </row>
    <row r="335" ht="12">
      <c r="A335" s="37" t="s">
        <v>1148</v>
      </c>
    </row>
    <row r="336" spans="1:2" ht="12">
      <c r="A336" s="37" t="s">
        <v>1149</v>
      </c>
      <c r="B336" s="234">
        <f>étk!$S$25</f>
        <v>0.4663951120162933</v>
      </c>
    </row>
    <row r="337" spans="1:3" ht="12">
      <c r="A337" s="37" t="s">
        <v>921</v>
      </c>
      <c r="B337" s="14" t="s">
        <v>1150</v>
      </c>
      <c r="C337" s="14" t="s">
        <v>1151</v>
      </c>
    </row>
    <row r="338" spans="1:4" ht="12">
      <c r="A338" s="37" t="s">
        <v>1094</v>
      </c>
      <c r="B338" s="55">
        <f>bev!$C$188*B336</f>
        <v>155930.97888675626</v>
      </c>
      <c r="C338" s="55">
        <f>B338*50%</f>
        <v>77965.48944337813</v>
      </c>
      <c r="D338" s="55">
        <f>ROUND(C338/1000,0)</f>
        <v>78</v>
      </c>
    </row>
    <row r="339" spans="1:2" ht="12">
      <c r="A339" s="37" t="s">
        <v>1095</v>
      </c>
      <c r="B339" s="234">
        <f>étk!AB25</f>
        <v>0.5236231101511879</v>
      </c>
    </row>
    <row r="340" spans="1:3" ht="12">
      <c r="A340" s="37" t="s">
        <v>921</v>
      </c>
      <c r="B340" s="234"/>
      <c r="C340" s="14"/>
    </row>
    <row r="341" spans="2:3" ht="12">
      <c r="B341" s="14" t="s">
        <v>1150</v>
      </c>
      <c r="C341" s="14" t="s">
        <v>1151</v>
      </c>
    </row>
    <row r="342" spans="2:4" ht="12">
      <c r="B342" s="55">
        <f>bev!$C$196*B339</f>
        <v>782646.3539247562</v>
      </c>
      <c r="C342" s="55">
        <f>B342*50%</f>
        <v>391323.1769623781</v>
      </c>
      <c r="D342" s="55">
        <f>ROUND(C342/1000,0)</f>
        <v>391</v>
      </c>
    </row>
    <row r="343" spans="1:2" ht="12">
      <c r="A343" s="37" t="s">
        <v>331</v>
      </c>
      <c r="B343" s="234">
        <f>étk!$AC$25</f>
        <v>0.1853401727861771</v>
      </c>
    </row>
    <row r="344" spans="2:3" ht="12">
      <c r="B344" s="14" t="s">
        <v>1150</v>
      </c>
      <c r="C344" s="14" t="s">
        <v>1151</v>
      </c>
    </row>
    <row r="345" spans="3:4" ht="12">
      <c r="C345" s="55">
        <f>B345*50%</f>
        <v>0</v>
      </c>
      <c r="D345" s="55">
        <f>ROUND(C345/1000,0)</f>
        <v>0</v>
      </c>
    </row>
    <row r="346" ht="12">
      <c r="A346" s="37" t="s">
        <v>1152</v>
      </c>
    </row>
    <row r="347" spans="1:2" ht="12">
      <c r="A347" s="37" t="s">
        <v>119</v>
      </c>
      <c r="B347" s="234">
        <f>étk!$G$25</f>
        <v>0.18809980806142035</v>
      </c>
    </row>
    <row r="348" spans="2:3" ht="12">
      <c r="B348" s="14" t="s">
        <v>1150</v>
      </c>
      <c r="C348" s="14" t="s">
        <v>1151</v>
      </c>
    </row>
    <row r="349" spans="2:4" ht="12">
      <c r="B349" s="55">
        <f>bev!$C$163*B347</f>
        <v>112322.24807856533</v>
      </c>
      <c r="C349" s="55">
        <f>B349*50%</f>
        <v>56161.124039282666</v>
      </c>
      <c r="D349" s="55">
        <f>ROUND(C349/1000,0)</f>
        <v>56</v>
      </c>
    </row>
    <row r="350" spans="1:2" ht="12">
      <c r="A350" s="37" t="s">
        <v>1154</v>
      </c>
      <c r="B350" s="234">
        <f>étk!$H$25</f>
        <v>0.4450233068275295</v>
      </c>
    </row>
    <row r="351" spans="2:3" ht="12">
      <c r="B351" s="14" t="s">
        <v>1150</v>
      </c>
      <c r="C351" s="14" t="s">
        <v>1151</v>
      </c>
    </row>
    <row r="352" spans="2:4" ht="12">
      <c r="B352" s="55">
        <f>bev!$C$163*B350</f>
        <v>265741.995089667</v>
      </c>
      <c r="C352" s="55">
        <f>B352*100%</f>
        <v>265741.995089667</v>
      </c>
      <c r="D352" s="55">
        <f>ROUND(C352/1000,0)</f>
        <v>266</v>
      </c>
    </row>
    <row r="354" spans="1:4" ht="12">
      <c r="A354" s="37" t="s">
        <v>1155</v>
      </c>
      <c r="C354" s="55">
        <v>0</v>
      </c>
      <c r="D354" s="55">
        <f>ROUND(C354/1000,0)</f>
        <v>0</v>
      </c>
    </row>
    <row r="355" spans="1:4" ht="12">
      <c r="A355" s="37" t="s">
        <v>1147</v>
      </c>
      <c r="C355" s="55">
        <f>C338+C342+C345+C349+C352+C354</f>
        <v>791191.7855347057</v>
      </c>
      <c r="D355" s="55">
        <f>D338+D342+D345+D349+D352+D354</f>
        <v>791</v>
      </c>
    </row>
    <row r="357" spans="1:4" ht="12">
      <c r="A357" s="37" t="s">
        <v>1145</v>
      </c>
      <c r="C357" s="55">
        <f>C330+C331+C333+C355</f>
        <v>971191.7855347057</v>
      </c>
      <c r="D357" s="55">
        <f>D330+D331+D333+D355</f>
        <v>971</v>
      </c>
    </row>
    <row r="359" spans="1:4" ht="12">
      <c r="A359" s="61" t="s">
        <v>1448</v>
      </c>
      <c r="B359" s="226"/>
      <c r="C359" s="226">
        <f>C327+C357</f>
        <v>1750191.7855347057</v>
      </c>
      <c r="D359" s="226">
        <f>D327+D357</f>
        <v>1750</v>
      </c>
    </row>
    <row r="362" spans="1:4" ht="12">
      <c r="A362" s="145" t="s">
        <v>121</v>
      </c>
      <c r="B362" s="241"/>
      <c r="C362" s="241">
        <f>C79+C93+C188+C205+C288+C307+C359</f>
        <v>31892524.441257145</v>
      </c>
      <c r="D362" s="241">
        <f>D79+D93+D188+D205+D288+D307+D359</f>
        <v>31892</v>
      </c>
    </row>
  </sheetData>
  <mergeCells count="8">
    <mergeCell ref="A311:D311"/>
    <mergeCell ref="A209:D209"/>
    <mergeCell ref="A210:D210"/>
    <mergeCell ref="A5:D5"/>
    <mergeCell ref="A83:D83"/>
    <mergeCell ref="A97:D97"/>
    <mergeCell ref="A193:D193"/>
    <mergeCell ref="A292:D292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KÖLTSÉGVETÉSE&amp;"Arial CE,Normál"&amp;10
&amp;R&amp;"Arial,Dőlt"&amp;8Foglalkoztatás és szociálpolitikai feladatok</oddHeader>
    <oddFooter>&amp;C&amp;"Arial,Dőlt"&amp;8&amp;P. oldal</oddFooter>
  </headerFooter>
  <rowBreaks count="3" manualBreakCount="3">
    <brk id="115" max="255" man="1"/>
    <brk id="154" max="255" man="1"/>
    <brk id="2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06">
      <selection activeCell="C36" sqref="C36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61" t="s">
        <v>550</v>
      </c>
    </row>
    <row r="3" spans="1:4" ht="53.25" customHeight="1">
      <c r="A3" s="317" t="s">
        <v>617</v>
      </c>
      <c r="B3" s="318"/>
      <c r="C3" s="318"/>
      <c r="D3" s="318"/>
    </row>
    <row r="5" spans="1:4" ht="26.25" customHeight="1">
      <c r="A5" s="317" t="s">
        <v>618</v>
      </c>
      <c r="B5" s="318"/>
      <c r="C5" s="318"/>
      <c r="D5" s="318"/>
    </row>
    <row r="7" ht="12">
      <c r="A7" s="37" t="s">
        <v>619</v>
      </c>
    </row>
    <row r="9" spans="1:4" ht="12">
      <c r="A9" s="37" t="s">
        <v>620</v>
      </c>
      <c r="D9" s="55">
        <f>ROUND(C9/1000,0)</f>
        <v>0</v>
      </c>
    </row>
    <row r="12" spans="1:4" s="61" customFormat="1" ht="12">
      <c r="A12" s="61" t="s">
        <v>621</v>
      </c>
      <c r="B12" s="226"/>
      <c r="C12" s="226">
        <f>C9</f>
        <v>0</v>
      </c>
      <c r="D12" s="226">
        <f>D9</f>
        <v>0</v>
      </c>
    </row>
    <row r="15" ht="12">
      <c r="A15" s="61" t="s">
        <v>732</v>
      </c>
    </row>
    <row r="17" spans="1:4" ht="29.25" customHeight="1">
      <c r="A17" s="317" t="s">
        <v>733</v>
      </c>
      <c r="B17" s="318"/>
      <c r="C17" s="318"/>
      <c r="D17" s="318"/>
    </row>
    <row r="19" ht="12">
      <c r="A19" s="37" t="s">
        <v>734</v>
      </c>
    </row>
    <row r="20" ht="12">
      <c r="A20" s="37" t="s">
        <v>735</v>
      </c>
    </row>
    <row r="22" ht="12">
      <c r="A22" s="37" t="s">
        <v>622</v>
      </c>
    </row>
    <row r="23" spans="2:3" ht="12">
      <c r="B23" s="13" t="s">
        <v>1196</v>
      </c>
      <c r="C23" s="63" t="s">
        <v>1197</v>
      </c>
    </row>
    <row r="24" spans="1:4" ht="12">
      <c r="A24" s="37" t="s">
        <v>623</v>
      </c>
      <c r="B24" s="13">
        <v>45000</v>
      </c>
      <c r="C24" s="55">
        <v>45000</v>
      </c>
      <c r="D24" s="55">
        <f>ROUND(C24/1000,0)</f>
        <v>45</v>
      </c>
    </row>
    <row r="27" ht="12">
      <c r="A27" s="9" t="s">
        <v>634</v>
      </c>
    </row>
    <row r="29" ht="12">
      <c r="A29" s="61" t="s">
        <v>797</v>
      </c>
    </row>
    <row r="31" ht="12">
      <c r="A31" s="9" t="s">
        <v>484</v>
      </c>
    </row>
    <row r="33" spans="1:3" ht="12">
      <c r="A33" s="37" t="s">
        <v>624</v>
      </c>
      <c r="B33" s="28" t="s">
        <v>343</v>
      </c>
      <c r="C33" s="28" t="s">
        <v>161</v>
      </c>
    </row>
    <row r="34" spans="1:3" ht="12">
      <c r="A34" s="37" t="s">
        <v>372</v>
      </c>
      <c r="B34" s="242">
        <f>kab!I27</f>
        <v>64200</v>
      </c>
      <c r="C34" s="242">
        <f>B34*1</f>
        <v>64200</v>
      </c>
    </row>
    <row r="35" spans="1:3" ht="12">
      <c r="A35" s="37" t="s">
        <v>373</v>
      </c>
      <c r="B35" s="242">
        <f>kab!H27</f>
        <v>140000</v>
      </c>
      <c r="C35" s="242">
        <f>B35*11</f>
        <v>1540000</v>
      </c>
    </row>
    <row r="36" spans="1:3" ht="12">
      <c r="A36" s="37" t="s">
        <v>1373</v>
      </c>
      <c r="C36" s="242">
        <f>kab!H27</f>
        <v>140000</v>
      </c>
    </row>
    <row r="37" spans="1:3" ht="12">
      <c r="A37" s="37" t="s">
        <v>374</v>
      </c>
      <c r="C37" s="55">
        <f>SUM(C34:C36)</f>
        <v>1744200</v>
      </c>
    </row>
    <row r="39" spans="1:4" s="9" customFormat="1" ht="12">
      <c r="A39" s="9" t="s">
        <v>484</v>
      </c>
      <c r="B39" s="243"/>
      <c r="C39" s="243">
        <f>C37</f>
        <v>1744200</v>
      </c>
      <c r="D39" s="55">
        <f>ROUND(C39/1000,0)</f>
        <v>1744</v>
      </c>
    </row>
    <row r="41" ht="12">
      <c r="A41" s="9" t="s">
        <v>163</v>
      </c>
    </row>
    <row r="43" ht="12">
      <c r="A43" s="37" t="s">
        <v>166</v>
      </c>
    </row>
    <row r="44" spans="1:2" ht="12">
      <c r="A44" s="37" t="s">
        <v>661</v>
      </c>
      <c r="B44" s="251">
        <v>1</v>
      </c>
    </row>
    <row r="45" spans="1:4" ht="12">
      <c r="A45" s="37" t="s">
        <v>662</v>
      </c>
      <c r="B45" s="55">
        <v>12000</v>
      </c>
      <c r="C45" s="55">
        <f>B44*B45*12</f>
        <v>144000</v>
      </c>
      <c r="D45" s="55">
        <f>ROUND(C45/1000,0)</f>
        <v>144</v>
      </c>
    </row>
    <row r="46" ht="12">
      <c r="A46" s="37" t="s">
        <v>625</v>
      </c>
    </row>
    <row r="48" spans="1:4" s="9" customFormat="1" ht="12">
      <c r="A48" s="9" t="s">
        <v>1274</v>
      </c>
      <c r="B48" s="243"/>
      <c r="C48" s="243">
        <f>SUM(C45:C47)</f>
        <v>144000</v>
      </c>
      <c r="D48" s="55">
        <f>ROUND(C48/1000,0)</f>
        <v>144</v>
      </c>
    </row>
    <row r="49" spans="1:4" s="9" customFormat="1" ht="12">
      <c r="A49" s="9" t="s">
        <v>347</v>
      </c>
      <c r="B49" s="243"/>
      <c r="C49" s="243"/>
      <c r="D49" s="243"/>
    </row>
    <row r="50" spans="1:4" s="9" customFormat="1" ht="12">
      <c r="A50" s="37" t="s">
        <v>1153</v>
      </c>
      <c r="B50" s="243"/>
      <c r="C50" s="243"/>
      <c r="D50" s="243"/>
    </row>
    <row r="51" ht="12">
      <c r="A51" s="9" t="s">
        <v>348</v>
      </c>
    </row>
    <row r="52" spans="1:4" s="61" customFormat="1" ht="12">
      <c r="A52" s="61" t="s">
        <v>1275</v>
      </c>
      <c r="B52" s="226"/>
      <c r="C52" s="226">
        <f>C39+C48+C51</f>
        <v>1888200</v>
      </c>
      <c r="D52" s="226">
        <f>D39+D48+D51</f>
        <v>1888</v>
      </c>
    </row>
    <row r="55" ht="12">
      <c r="A55" s="61" t="s">
        <v>1276</v>
      </c>
    </row>
    <row r="56" ht="12">
      <c r="A56" s="61"/>
    </row>
    <row r="57" spans="1:3" ht="12">
      <c r="A57" s="37" t="s">
        <v>1277</v>
      </c>
      <c r="B57" s="63" t="s">
        <v>175</v>
      </c>
      <c r="C57" s="63" t="s">
        <v>1129</v>
      </c>
    </row>
    <row r="58" spans="1:4" ht="12">
      <c r="A58" s="37" t="s">
        <v>1130</v>
      </c>
      <c r="B58" s="55">
        <f>C39</f>
        <v>1744200</v>
      </c>
      <c r="C58" s="55">
        <f>B58*24%</f>
        <v>418608</v>
      </c>
      <c r="D58" s="55">
        <f>ROUND(C58/1000,0)+1</f>
        <v>420</v>
      </c>
    </row>
    <row r="59" spans="2:3" ht="12">
      <c r="B59" s="63" t="s">
        <v>175</v>
      </c>
      <c r="C59" s="63" t="s">
        <v>1131</v>
      </c>
    </row>
    <row r="60" spans="1:4" ht="12">
      <c r="A60" s="37" t="s">
        <v>1132</v>
      </c>
      <c r="B60" s="55">
        <f>C39</f>
        <v>1744200</v>
      </c>
      <c r="C60" s="55">
        <f>B60*4.5%</f>
        <v>78489</v>
      </c>
      <c r="D60" s="55">
        <f>ROUND(C60/1000,0)</f>
        <v>78</v>
      </c>
    </row>
    <row r="61" spans="2:3" ht="12">
      <c r="B61" s="63" t="s">
        <v>175</v>
      </c>
      <c r="C61" s="63" t="s">
        <v>1134</v>
      </c>
    </row>
    <row r="62" spans="1:4" ht="12">
      <c r="A62" s="37" t="s">
        <v>1133</v>
      </c>
      <c r="B62" s="55">
        <f>C39</f>
        <v>1744200</v>
      </c>
      <c r="C62" s="55">
        <f>B62*0.5%</f>
        <v>8721</v>
      </c>
      <c r="D62" s="55">
        <f>ROUND(C62/1000,0)</f>
        <v>9</v>
      </c>
    </row>
    <row r="63" spans="1:4" ht="12">
      <c r="A63" s="37" t="s">
        <v>1135</v>
      </c>
      <c r="C63" s="55">
        <f>C58+C60+C62</f>
        <v>505818</v>
      </c>
      <c r="D63" s="55">
        <f>D58+D60+D62</f>
        <v>507</v>
      </c>
    </row>
    <row r="65" spans="2:3" ht="12">
      <c r="B65" s="63" t="s">
        <v>175</v>
      </c>
      <c r="C65" s="63" t="s">
        <v>176</v>
      </c>
    </row>
    <row r="66" spans="1:4" ht="12">
      <c r="A66" s="37" t="s">
        <v>177</v>
      </c>
      <c r="B66" s="55">
        <f>C39</f>
        <v>1744200</v>
      </c>
      <c r="C66" s="55">
        <f>B66*3%</f>
        <v>52326</v>
      </c>
      <c r="D66" s="55">
        <f>ROUND(C66/1000,0)</f>
        <v>52</v>
      </c>
    </row>
    <row r="68" ht="12">
      <c r="A68" s="37" t="s">
        <v>841</v>
      </c>
    </row>
    <row r="69" spans="1:2" ht="12">
      <c r="A69" s="37" t="s">
        <v>842</v>
      </c>
      <c r="B69" s="55">
        <v>1</v>
      </c>
    </row>
    <row r="70" spans="1:4" s="61" customFormat="1" ht="12">
      <c r="A70" s="37" t="s">
        <v>1228</v>
      </c>
      <c r="B70" s="55">
        <v>1950</v>
      </c>
      <c r="C70" s="55">
        <f>B69*B70*12</f>
        <v>23400</v>
      </c>
      <c r="D70" s="55"/>
    </row>
    <row r="71" spans="2:3" ht="12">
      <c r="B71" s="14" t="s">
        <v>1150</v>
      </c>
      <c r="C71" s="14" t="s">
        <v>2</v>
      </c>
    </row>
    <row r="72" spans="1:3" ht="12">
      <c r="A72" s="37" t="s">
        <v>1</v>
      </c>
      <c r="B72" s="55">
        <f>C46+C51</f>
        <v>0</v>
      </c>
      <c r="C72" s="55">
        <f>B72*11%</f>
        <v>0</v>
      </c>
    </row>
    <row r="73" spans="1:4" ht="12">
      <c r="A73" s="37" t="s">
        <v>841</v>
      </c>
      <c r="C73" s="55">
        <f>C70+C72</f>
        <v>23400</v>
      </c>
      <c r="D73" s="55">
        <f>ROUND(C73/1000,0)</f>
        <v>23</v>
      </c>
    </row>
    <row r="74" ht="12">
      <c r="A74" s="61"/>
    </row>
    <row r="75" spans="1:4" ht="12">
      <c r="A75" s="61" t="s">
        <v>1276</v>
      </c>
      <c r="B75" s="226"/>
      <c r="C75" s="226">
        <f>C58+C60+C62+C66+C73</f>
        <v>581544</v>
      </c>
      <c r="D75" s="226">
        <f>D58+D60+D62+D66+D73</f>
        <v>582</v>
      </c>
    </row>
    <row r="77" ht="12">
      <c r="A77" s="61" t="s">
        <v>1278</v>
      </c>
    </row>
    <row r="79" ht="12">
      <c r="A79" s="9" t="s">
        <v>845</v>
      </c>
    </row>
    <row r="80" spans="2:3" ht="12">
      <c r="B80" s="13" t="s">
        <v>1196</v>
      </c>
      <c r="C80" s="63" t="s">
        <v>1197</v>
      </c>
    </row>
    <row r="81" spans="1:4" s="9" customFormat="1" ht="12">
      <c r="A81" s="37" t="s">
        <v>626</v>
      </c>
      <c r="B81" s="243"/>
      <c r="C81" s="55">
        <v>5000</v>
      </c>
      <c r="D81" s="55">
        <f aca="true" t="shared" si="0" ref="D81:D87">ROUND(C81/1000,0)</f>
        <v>5</v>
      </c>
    </row>
    <row r="82" spans="1:4" ht="12">
      <c r="A82" s="37" t="s">
        <v>635</v>
      </c>
      <c r="B82" s="243"/>
      <c r="C82" s="55">
        <v>10000</v>
      </c>
      <c r="D82" s="55">
        <f t="shared" si="0"/>
        <v>10</v>
      </c>
    </row>
    <row r="83" spans="1:4" ht="12">
      <c r="A83" s="37" t="s">
        <v>636</v>
      </c>
      <c r="B83" s="243"/>
      <c r="C83" s="55">
        <v>5000</v>
      </c>
      <c r="D83" s="55">
        <f t="shared" si="0"/>
        <v>5</v>
      </c>
    </row>
    <row r="84" spans="1:4" ht="12">
      <c r="A84" s="37" t="s">
        <v>637</v>
      </c>
      <c r="B84" s="243"/>
      <c r="C84" s="55">
        <v>5000</v>
      </c>
      <c r="D84" s="55">
        <f t="shared" si="0"/>
        <v>5</v>
      </c>
    </row>
    <row r="85" spans="1:4" ht="12">
      <c r="A85" s="37" t="s">
        <v>627</v>
      </c>
      <c r="B85" s="243"/>
      <c r="D85" s="55">
        <f t="shared" si="0"/>
        <v>0</v>
      </c>
    </row>
    <row r="86" spans="1:4" ht="12">
      <c r="A86" s="37" t="s">
        <v>1015</v>
      </c>
      <c r="B86" s="13">
        <v>682500</v>
      </c>
      <c r="C86" s="55">
        <v>15000</v>
      </c>
      <c r="D86" s="55">
        <f t="shared" si="0"/>
        <v>15</v>
      </c>
    </row>
    <row r="87" spans="1:4" ht="12">
      <c r="A87" s="37" t="s">
        <v>628</v>
      </c>
      <c r="B87" s="243">
        <v>39713</v>
      </c>
      <c r="C87" s="55">
        <v>40000</v>
      </c>
      <c r="D87" s="55">
        <f t="shared" si="0"/>
        <v>40</v>
      </c>
    </row>
    <row r="88" spans="1:4" ht="12">
      <c r="A88" s="9" t="s">
        <v>145</v>
      </c>
      <c r="B88" s="243"/>
      <c r="C88" s="243">
        <f>SUM(C81:C87)</f>
        <v>80000</v>
      </c>
      <c r="D88" s="243">
        <f>SUM(D81:D87)</f>
        <v>80</v>
      </c>
    </row>
    <row r="90" spans="1:2" ht="12">
      <c r="A90" s="9" t="s">
        <v>847</v>
      </c>
      <c r="B90" s="243"/>
    </row>
    <row r="91" spans="1:4" s="9" customFormat="1" ht="12">
      <c r="A91" s="37" t="s">
        <v>1571</v>
      </c>
      <c r="B91" s="243">
        <v>30281</v>
      </c>
      <c r="C91" s="55">
        <v>30000</v>
      </c>
      <c r="D91" s="55">
        <f aca="true" t="shared" si="1" ref="D91:D96">ROUND(C91/1000,0)</f>
        <v>30</v>
      </c>
    </row>
    <row r="92" spans="1:4" ht="12">
      <c r="A92" s="37" t="s">
        <v>439</v>
      </c>
      <c r="B92" s="243">
        <v>516094</v>
      </c>
      <c r="C92" s="55">
        <v>500000</v>
      </c>
      <c r="D92" s="55">
        <f t="shared" si="1"/>
        <v>500</v>
      </c>
    </row>
    <row r="93" spans="1:4" ht="12">
      <c r="A93" s="37" t="s">
        <v>629</v>
      </c>
      <c r="B93" s="243">
        <v>214683</v>
      </c>
      <c r="C93" s="55">
        <v>220000</v>
      </c>
      <c r="D93" s="55">
        <f t="shared" si="1"/>
        <v>220</v>
      </c>
    </row>
    <row r="94" spans="1:4" ht="12">
      <c r="A94" s="37" t="s">
        <v>630</v>
      </c>
      <c r="B94" s="243">
        <v>4170</v>
      </c>
      <c r="C94" s="55">
        <v>5000</v>
      </c>
      <c r="D94" s="55">
        <f t="shared" si="1"/>
        <v>5</v>
      </c>
    </row>
    <row r="95" spans="1:4" ht="12">
      <c r="A95" s="37" t="s">
        <v>631</v>
      </c>
      <c r="B95" s="243">
        <v>19859</v>
      </c>
      <c r="C95" s="55">
        <v>20000</v>
      </c>
      <c r="D95" s="55">
        <f t="shared" si="1"/>
        <v>20</v>
      </c>
    </row>
    <row r="96" spans="1:4" ht="12">
      <c r="A96" s="37" t="s">
        <v>632</v>
      </c>
      <c r="B96" s="243">
        <v>0</v>
      </c>
      <c r="C96" s="55">
        <v>5000</v>
      </c>
      <c r="D96" s="55">
        <f t="shared" si="1"/>
        <v>5</v>
      </c>
    </row>
    <row r="97" spans="1:4" ht="12">
      <c r="A97" s="9" t="s">
        <v>847</v>
      </c>
      <c r="B97" s="243"/>
      <c r="C97" s="243">
        <f>SUM(C91:C96)</f>
        <v>780000</v>
      </c>
      <c r="D97" s="243">
        <f>SUM(D91:D96)</f>
        <v>780</v>
      </c>
    </row>
    <row r="99" ht="12">
      <c r="A99" s="9" t="s">
        <v>851</v>
      </c>
    </row>
    <row r="100" spans="1:3" ht="12">
      <c r="A100" s="37" t="s">
        <v>524</v>
      </c>
      <c r="B100" s="63" t="s">
        <v>853</v>
      </c>
      <c r="C100" s="63" t="s">
        <v>854</v>
      </c>
    </row>
    <row r="101" spans="1:4" s="9" customFormat="1" ht="12">
      <c r="A101" s="37" t="s">
        <v>21</v>
      </c>
      <c r="B101" s="55"/>
      <c r="C101" s="55">
        <f>B101*15%</f>
        <v>0</v>
      </c>
      <c r="D101" s="55"/>
    </row>
    <row r="102" spans="1:4" ht="12">
      <c r="A102" s="37" t="s">
        <v>22</v>
      </c>
      <c r="B102" s="55">
        <f>C88+C97</f>
        <v>860000</v>
      </c>
      <c r="C102" s="55">
        <f>B102*20%</f>
        <v>172000</v>
      </c>
      <c r="D102" s="55">
        <f>ROUND(C102/1000,0)</f>
        <v>172</v>
      </c>
    </row>
    <row r="103" spans="1:4" s="61" customFormat="1" ht="12">
      <c r="A103" s="37" t="s">
        <v>1109</v>
      </c>
      <c r="B103" s="55"/>
      <c r="C103" s="55">
        <f>SUM(C101:C102)</f>
        <v>172000</v>
      </c>
      <c r="D103" s="55">
        <f>SUM(D101:D102)</f>
        <v>172</v>
      </c>
    </row>
    <row r="104" spans="1:4" s="61" customFormat="1" ht="12">
      <c r="A104" s="37"/>
      <c r="B104" s="55"/>
      <c r="C104" s="55"/>
      <c r="D104" s="55"/>
    </row>
    <row r="105" spans="1:4" s="61" customFormat="1" ht="12">
      <c r="A105" s="37" t="s">
        <v>302</v>
      </c>
      <c r="B105" s="55"/>
      <c r="C105" s="55">
        <v>5000</v>
      </c>
      <c r="D105" s="55">
        <v>5</v>
      </c>
    </row>
    <row r="106" spans="1:4" s="61" customFormat="1" ht="12">
      <c r="A106" s="37"/>
      <c r="B106" s="55"/>
      <c r="C106" s="55"/>
      <c r="D106" s="55"/>
    </row>
    <row r="107" spans="1:4" s="61" customFormat="1" ht="12">
      <c r="A107" s="9" t="s">
        <v>1120</v>
      </c>
      <c r="B107" s="243"/>
      <c r="C107" s="243">
        <f>C103+C105</f>
        <v>177000</v>
      </c>
      <c r="D107" s="243">
        <f>D103+D105</f>
        <v>177</v>
      </c>
    </row>
    <row r="109" spans="1:4" ht="12">
      <c r="A109" s="61" t="s">
        <v>1278</v>
      </c>
      <c r="B109" s="226"/>
      <c r="C109" s="226">
        <f>C88+C97+C107</f>
        <v>1037000</v>
      </c>
      <c r="D109" s="226">
        <f>D88+D97+D107</f>
        <v>1037</v>
      </c>
    </row>
    <row r="110" spans="2:4" s="61" customFormat="1" ht="12">
      <c r="B110" s="226"/>
      <c r="C110" s="226"/>
      <c r="D110" s="226"/>
    </row>
    <row r="111" spans="1:4" ht="12">
      <c r="A111" s="61" t="s">
        <v>1513</v>
      </c>
      <c r="B111" s="226"/>
      <c r="C111" s="226">
        <f>C24+C52+C75+C109</f>
        <v>3551744</v>
      </c>
      <c r="D111" s="226">
        <f>D24+D52+D75+D109</f>
        <v>3552</v>
      </c>
    </row>
    <row r="112" spans="2:4" s="61" customFormat="1" ht="12">
      <c r="B112" s="226"/>
      <c r="C112" s="226"/>
      <c r="D112" s="226"/>
    </row>
    <row r="113" spans="1:4" ht="12">
      <c r="A113" s="61" t="s">
        <v>1517</v>
      </c>
      <c r="B113" s="226"/>
      <c r="C113" s="226"/>
      <c r="D113" s="226"/>
    </row>
    <row r="114" spans="1:4" s="145" customFormat="1" ht="12">
      <c r="A114" s="37"/>
      <c r="B114" s="55"/>
      <c r="C114" s="55"/>
      <c r="D114" s="55"/>
    </row>
    <row r="116" spans="1:4" ht="12">
      <c r="A116" s="61" t="s">
        <v>1518</v>
      </c>
      <c r="B116" s="226"/>
      <c r="C116" s="226">
        <f>SUM(C114:C115)</f>
        <v>0</v>
      </c>
      <c r="D116" s="226">
        <f>SUM(D114:D115)</f>
        <v>0</v>
      </c>
    </row>
    <row r="118" spans="1:4" ht="12">
      <c r="A118" s="61" t="s">
        <v>757</v>
      </c>
      <c r="B118" s="226"/>
      <c r="C118" s="226">
        <f>C111+C116</f>
        <v>3551744</v>
      </c>
      <c r="D118" s="226">
        <f>D24+D52+D75+D109</f>
        <v>3552</v>
      </c>
    </row>
    <row r="120" spans="1:4" ht="12">
      <c r="A120" s="145" t="s">
        <v>633</v>
      </c>
      <c r="B120" s="241"/>
      <c r="C120" s="241">
        <f>C12+C118</f>
        <v>3551744</v>
      </c>
      <c r="D120" s="241">
        <f>D12+D118</f>
        <v>3552</v>
      </c>
    </row>
  </sheetData>
  <mergeCells count="3">
    <mergeCell ref="A3:D3"/>
    <mergeCell ref="A5:D5"/>
    <mergeCell ref="A17:D17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KÖLTSÉGVETÉSE&amp;R&amp;"Arial,Dőlt"&amp;8Önkormányzat elszámolásai és egyéb feladtok&amp;"Arial CE,Normál"&amp;10
</oddHeader>
    <oddFooter>&amp;C&amp;"Arial,Dőlt"&amp;8&amp;P. oldal</oddFooter>
  </headerFooter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61"/>
  <sheetViews>
    <sheetView workbookViewId="0" topLeftCell="A28">
      <selection activeCell="D52" sqref="D51:D52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spans="1:4" ht="27.75" customHeight="1">
      <c r="A1" s="317" t="s">
        <v>474</v>
      </c>
      <c r="B1" s="318"/>
      <c r="C1" s="318"/>
      <c r="D1" s="318"/>
    </row>
    <row r="3" ht="12">
      <c r="A3" s="61" t="s">
        <v>645</v>
      </c>
    </row>
    <row r="5" spans="1:4" ht="25.5" customHeight="1">
      <c r="A5" s="317" t="s">
        <v>646</v>
      </c>
      <c r="B5" s="318"/>
      <c r="C5" s="318"/>
      <c r="D5" s="318"/>
    </row>
    <row r="7" ht="12">
      <c r="A7" s="37" t="s">
        <v>647</v>
      </c>
    </row>
    <row r="8" ht="12">
      <c r="A8" s="37" t="s">
        <v>648</v>
      </c>
    </row>
    <row r="10" spans="1:3" ht="12">
      <c r="A10" s="37" t="s">
        <v>475</v>
      </c>
      <c r="C10" s="55">
        <f>C233</f>
        <v>752453.6795408531</v>
      </c>
    </row>
    <row r="11" spans="1:3" ht="12">
      <c r="A11" s="37" t="s">
        <v>476</v>
      </c>
      <c r="C11" s="55">
        <f>C240</f>
        <v>146281.0911732947</v>
      </c>
    </row>
    <row r="12" spans="1:3" ht="12">
      <c r="A12" s="37" t="s">
        <v>477</v>
      </c>
      <c r="C12" s="55">
        <f>C247</f>
        <v>264555.8547687334</v>
      </c>
    </row>
    <row r="13" spans="1:3" ht="12">
      <c r="A13" s="37" t="s">
        <v>478</v>
      </c>
      <c r="C13" s="55">
        <f>C254</f>
        <v>1022338.2111143277</v>
      </c>
    </row>
    <row r="14" spans="1:4" ht="12">
      <c r="A14" s="37" t="s">
        <v>345</v>
      </c>
      <c r="C14" s="55">
        <f>SUM(C10:C13)</f>
        <v>2185628.836597209</v>
      </c>
      <c r="D14" s="55">
        <f>ROUND(C14/1000,0)</f>
        <v>2186</v>
      </c>
    </row>
    <row r="16" spans="1:4" s="61" customFormat="1" ht="12">
      <c r="A16" s="61" t="s">
        <v>479</v>
      </c>
      <c r="B16" s="226"/>
      <c r="C16" s="226">
        <f>C14</f>
        <v>2185628.836597209</v>
      </c>
      <c r="D16" s="226">
        <f>D14</f>
        <v>2186</v>
      </c>
    </row>
    <row r="18" ht="12">
      <c r="A18" s="61" t="s">
        <v>890</v>
      </c>
    </row>
    <row r="20" spans="1:4" ht="27" customHeight="1">
      <c r="A20" s="317" t="s">
        <v>895</v>
      </c>
      <c r="B20" s="318"/>
      <c r="C20" s="318"/>
      <c r="D20" s="318"/>
    </row>
    <row r="22" ht="12">
      <c r="A22" s="37" t="s">
        <v>647</v>
      </c>
    </row>
    <row r="23" ht="12">
      <c r="A23" s="37" t="s">
        <v>648</v>
      </c>
    </row>
    <row r="25" spans="1:3" ht="12">
      <c r="A25" s="37" t="s">
        <v>475</v>
      </c>
      <c r="C25" s="55">
        <f>C234</f>
        <v>2304717.930487105</v>
      </c>
    </row>
    <row r="26" spans="1:3" ht="12">
      <c r="A26" s="37" t="s">
        <v>476</v>
      </c>
      <c r="C26" s="55">
        <f>C241</f>
        <v>448049.71107860346</v>
      </c>
    </row>
    <row r="27" spans="1:3" ht="12">
      <c r="A27" s="37" t="s">
        <v>477</v>
      </c>
      <c r="C27" s="55">
        <f>C248</f>
        <v>810317.8158061467</v>
      </c>
    </row>
    <row r="28" spans="1:3" ht="12">
      <c r="A28" s="37" t="s">
        <v>478</v>
      </c>
      <c r="C28" s="55">
        <f>C255</f>
        <v>3131357.145618658</v>
      </c>
    </row>
    <row r="29" spans="1:4" ht="12">
      <c r="A29" s="37" t="s">
        <v>345</v>
      </c>
      <c r="C29" s="55">
        <f>SUM(C25:C28)</f>
        <v>6694442.602990514</v>
      </c>
      <c r="D29" s="55">
        <f>ROUND(C29/1000,0)</f>
        <v>6694</v>
      </c>
    </row>
    <row r="31" spans="1:4" s="61" customFormat="1" ht="12">
      <c r="A31" s="61" t="s">
        <v>480</v>
      </c>
      <c r="B31" s="226"/>
      <c r="C31" s="226">
        <f>C29</f>
        <v>6694442.602990514</v>
      </c>
      <c r="D31" s="226">
        <f>D29</f>
        <v>6694</v>
      </c>
    </row>
    <row r="33" ht="12">
      <c r="A33" s="61" t="s">
        <v>899</v>
      </c>
    </row>
    <row r="35" spans="1:4" ht="25.5" customHeight="1">
      <c r="A35" s="317" t="s">
        <v>1560</v>
      </c>
      <c r="B35" s="318"/>
      <c r="C35" s="318"/>
      <c r="D35" s="318"/>
    </row>
    <row r="37" ht="12">
      <c r="A37" s="37" t="s">
        <v>795</v>
      </c>
    </row>
    <row r="38" ht="12">
      <c r="A38" s="37" t="s">
        <v>796</v>
      </c>
    </row>
    <row r="40" spans="1:3" ht="12">
      <c r="A40" s="37" t="s">
        <v>475</v>
      </c>
      <c r="C40" s="55">
        <f>C235</f>
        <v>646428.3899720416</v>
      </c>
    </row>
    <row r="41" spans="1:3" ht="12">
      <c r="A41" s="37" t="s">
        <v>476</v>
      </c>
      <c r="C41" s="55">
        <f>C242</f>
        <v>125669.19774810184</v>
      </c>
    </row>
    <row r="42" spans="1:3" ht="12">
      <c r="A42" s="37" t="s">
        <v>477</v>
      </c>
      <c r="C42" s="55">
        <f>C249</f>
        <v>227278.32942511985</v>
      </c>
    </row>
    <row r="43" spans="1:3" ht="12">
      <c r="A43" s="37" t="s">
        <v>478</v>
      </c>
      <c r="C43" s="55">
        <f>C256</f>
        <v>878284.5533040566</v>
      </c>
    </row>
    <row r="44" spans="1:4" ht="12">
      <c r="A44" s="37" t="s">
        <v>345</v>
      </c>
      <c r="C44" s="55">
        <f>SUM(C40:C43)</f>
        <v>1877660.4704493198</v>
      </c>
      <c r="D44" s="55">
        <f>ROUND(C44/1000,0)-1</f>
        <v>1877</v>
      </c>
    </row>
    <row r="46" spans="1:4" s="61" customFormat="1" ht="12">
      <c r="A46" s="61" t="s">
        <v>1561</v>
      </c>
      <c r="B46" s="226"/>
      <c r="C46" s="226">
        <f>C44</f>
        <v>1877660.4704493198</v>
      </c>
      <c r="D46" s="226">
        <f>D44</f>
        <v>1877</v>
      </c>
    </row>
    <row r="47" spans="2:4" s="61" customFormat="1" ht="12">
      <c r="B47" s="226"/>
      <c r="C47" s="226"/>
      <c r="D47" s="226"/>
    </row>
    <row r="49" spans="1:4" ht="12">
      <c r="A49" s="145" t="s">
        <v>481</v>
      </c>
      <c r="B49" s="241"/>
      <c r="C49" s="241">
        <f>C16+C31+C46</f>
        <v>10757731.910037043</v>
      </c>
      <c r="D49" s="241">
        <f>D16+D31+D46</f>
        <v>10757</v>
      </c>
    </row>
    <row r="52" ht="12">
      <c r="A52" s="61" t="s">
        <v>482</v>
      </c>
    </row>
    <row r="54" spans="1:4" ht="39" customHeight="1">
      <c r="A54" s="317" t="s">
        <v>1562</v>
      </c>
      <c r="B54" s="318"/>
      <c r="C54" s="318"/>
      <c r="D54" s="318"/>
    </row>
    <row r="56" ht="12">
      <c r="A56" s="37" t="s">
        <v>483</v>
      </c>
    </row>
    <row r="58" ht="12">
      <c r="A58" s="9" t="s">
        <v>555</v>
      </c>
    </row>
    <row r="60" spans="1:4" s="9" customFormat="1" ht="12">
      <c r="A60" s="61" t="s">
        <v>797</v>
      </c>
      <c r="B60" s="55"/>
      <c r="C60" s="55"/>
      <c r="D60" s="55"/>
    </row>
    <row r="62" ht="12">
      <c r="A62" s="9" t="s">
        <v>484</v>
      </c>
    </row>
    <row r="64" spans="1:3" ht="12">
      <c r="A64" s="37" t="s">
        <v>485</v>
      </c>
      <c r="B64" s="14" t="s">
        <v>160</v>
      </c>
      <c r="C64" s="14" t="s">
        <v>161</v>
      </c>
    </row>
    <row r="65" spans="1:3" ht="12">
      <c r="A65" s="37" t="s">
        <v>372</v>
      </c>
      <c r="B65" s="242">
        <f>kab!$I$23</f>
        <v>417000</v>
      </c>
      <c r="C65" s="242">
        <f>B65*1</f>
        <v>417000</v>
      </c>
    </row>
    <row r="66" spans="1:3" ht="12">
      <c r="A66" s="37" t="s">
        <v>373</v>
      </c>
      <c r="B66" s="242">
        <f>kab!$H$23</f>
        <v>358700</v>
      </c>
      <c r="C66" s="242">
        <f>B66*8</f>
        <v>2869600</v>
      </c>
    </row>
    <row r="67" spans="1:3" ht="12">
      <c r="A67" s="37" t="s">
        <v>1373</v>
      </c>
      <c r="B67" s="242">
        <f>kab!$K$23</f>
        <v>417000</v>
      </c>
      <c r="C67" s="55">
        <f>B67*1</f>
        <v>417000</v>
      </c>
    </row>
    <row r="68" spans="1:4" ht="12">
      <c r="A68" s="37" t="s">
        <v>486</v>
      </c>
      <c r="C68" s="55">
        <f>SUM(C65:C67)</f>
        <v>3703600</v>
      </c>
      <c r="D68" s="55">
        <f>ROUND(C68/1000,0)</f>
        <v>3704</v>
      </c>
    </row>
    <row r="70" spans="1:4" ht="12">
      <c r="A70" s="9" t="s">
        <v>487</v>
      </c>
      <c r="B70" s="243"/>
      <c r="C70" s="243">
        <f>C68</f>
        <v>3703600</v>
      </c>
      <c r="D70" s="243">
        <f>D68</f>
        <v>3704</v>
      </c>
    </row>
    <row r="72" ht="12">
      <c r="A72" s="9" t="s">
        <v>163</v>
      </c>
    </row>
    <row r="74" ht="12">
      <c r="A74" s="37" t="s">
        <v>165</v>
      </c>
    </row>
    <row r="75" spans="1:4" ht="12">
      <c r="A75" s="37" t="s">
        <v>488</v>
      </c>
      <c r="C75" s="242">
        <f>kab!$S$23</f>
        <v>0</v>
      </c>
      <c r="D75" s="55">
        <v>0</v>
      </c>
    </row>
    <row r="77" ht="12">
      <c r="A77" s="37" t="s">
        <v>489</v>
      </c>
    </row>
    <row r="79" ht="12">
      <c r="A79" s="37" t="s">
        <v>170</v>
      </c>
    </row>
    <row r="80" spans="1:4" s="9" customFormat="1" ht="12">
      <c r="A80" s="37" t="s">
        <v>490</v>
      </c>
      <c r="B80" s="55"/>
      <c r="C80" s="55"/>
      <c r="D80" s="55"/>
    </row>
    <row r="81" spans="1:2" ht="12">
      <c r="A81" s="37" t="s">
        <v>950</v>
      </c>
      <c r="B81" s="55">
        <v>5</v>
      </c>
    </row>
    <row r="82" spans="1:4" s="61" customFormat="1" ht="12">
      <c r="A82" s="37" t="s">
        <v>1476</v>
      </c>
      <c r="B82" s="55">
        <v>12000</v>
      </c>
      <c r="C82" s="55"/>
      <c r="D82" s="55"/>
    </row>
    <row r="83" spans="1:4" ht="12">
      <c r="A83" s="37" t="s">
        <v>490</v>
      </c>
      <c r="C83" s="55">
        <f>B81*B82*12</f>
        <v>720000</v>
      </c>
      <c r="D83" s="55">
        <f>ROUND(C83/1000,0)</f>
        <v>720</v>
      </c>
    </row>
    <row r="85" ht="12">
      <c r="A85" s="37" t="s">
        <v>1477</v>
      </c>
    </row>
    <row r="86" spans="1:2" ht="12">
      <c r="A86" s="37" t="s">
        <v>950</v>
      </c>
      <c r="B86" s="55">
        <v>5</v>
      </c>
    </row>
    <row r="87" spans="1:2" ht="12">
      <c r="A87" s="37" t="s">
        <v>332</v>
      </c>
      <c r="B87" s="55">
        <v>2000</v>
      </c>
    </row>
    <row r="88" ht="12">
      <c r="A88" s="37" t="s">
        <v>1477</v>
      </c>
    </row>
    <row r="90" spans="1:4" ht="12">
      <c r="A90" s="37" t="s">
        <v>489</v>
      </c>
      <c r="C90" s="55">
        <f>C83+C88</f>
        <v>720000</v>
      </c>
      <c r="D90" s="55">
        <f>D83+D88</f>
        <v>720</v>
      </c>
    </row>
    <row r="92" spans="1:4" ht="12">
      <c r="A92" s="9" t="s">
        <v>1478</v>
      </c>
      <c r="B92" s="243"/>
      <c r="C92" s="243">
        <f>C75+C90</f>
        <v>720000</v>
      </c>
      <c r="D92" s="243">
        <f>D75+D90</f>
        <v>720</v>
      </c>
    </row>
    <row r="94" spans="1:4" ht="12">
      <c r="A94" s="61" t="s">
        <v>797</v>
      </c>
      <c r="B94" s="226"/>
      <c r="C94" s="226">
        <f>C70+C92</f>
        <v>4423600</v>
      </c>
      <c r="D94" s="226">
        <f>D70+D92</f>
        <v>4424</v>
      </c>
    </row>
    <row r="96" spans="1:4" s="61" customFormat="1" ht="12">
      <c r="A96" s="61" t="s">
        <v>1276</v>
      </c>
      <c r="B96" s="55"/>
      <c r="C96" s="55"/>
      <c r="D96" s="55"/>
    </row>
    <row r="97" spans="1:4" s="61" customFormat="1" ht="12">
      <c r="A97" s="37" t="s">
        <v>1277</v>
      </c>
      <c r="B97" s="63" t="s">
        <v>175</v>
      </c>
      <c r="C97" s="63" t="s">
        <v>1129</v>
      </c>
      <c r="D97" s="55"/>
    </row>
    <row r="98" spans="1:4" s="61" customFormat="1" ht="12">
      <c r="A98" s="37" t="s">
        <v>1130</v>
      </c>
      <c r="B98" s="55">
        <f>C70+C75</f>
        <v>3703600</v>
      </c>
      <c r="C98" s="55">
        <f>B98*24%</f>
        <v>888864</v>
      </c>
      <c r="D98" s="55">
        <f>ROUND(C98/1000,0)</f>
        <v>889</v>
      </c>
    </row>
    <row r="99" spans="2:3" ht="12">
      <c r="B99" s="63" t="s">
        <v>175</v>
      </c>
      <c r="C99" s="63" t="s">
        <v>1131</v>
      </c>
    </row>
    <row r="100" spans="1:4" ht="12">
      <c r="A100" s="37" t="s">
        <v>1132</v>
      </c>
      <c r="B100" s="55">
        <f>C70+C75</f>
        <v>3703600</v>
      </c>
      <c r="C100" s="55">
        <f>B100*4.5%</f>
        <v>166662</v>
      </c>
      <c r="D100" s="55">
        <f>ROUND(C100/1000,0)</f>
        <v>167</v>
      </c>
    </row>
    <row r="101" spans="2:3" ht="12">
      <c r="B101" s="63" t="s">
        <v>175</v>
      </c>
      <c r="C101" s="63" t="s">
        <v>1134</v>
      </c>
    </row>
    <row r="102" spans="1:4" ht="12">
      <c r="A102" s="37" t="s">
        <v>1133</v>
      </c>
      <c r="B102" s="55">
        <f>C70+C75</f>
        <v>3703600</v>
      </c>
      <c r="C102" s="55">
        <f>B102*0.5%</f>
        <v>18518</v>
      </c>
      <c r="D102" s="55">
        <f>ROUND(C102/1000,0)-1</f>
        <v>18</v>
      </c>
    </row>
    <row r="103" spans="1:4" ht="12">
      <c r="A103" s="37" t="s">
        <v>1135</v>
      </c>
      <c r="C103" s="55">
        <f>C98+C100+C102</f>
        <v>1074044</v>
      </c>
      <c r="D103" s="55">
        <f>D98+D100+D102</f>
        <v>1074</v>
      </c>
    </row>
    <row r="105" spans="2:3" ht="12">
      <c r="B105" s="63" t="s">
        <v>175</v>
      </c>
      <c r="C105" s="63" t="s">
        <v>176</v>
      </c>
    </row>
    <row r="106" spans="1:4" ht="12">
      <c r="A106" s="37" t="s">
        <v>177</v>
      </c>
      <c r="B106" s="55">
        <f>C70+C75</f>
        <v>3703600</v>
      </c>
      <c r="C106" s="55">
        <f>B106*3%</f>
        <v>111108</v>
      </c>
      <c r="D106" s="55">
        <f>ROUND(C106/1000,0)</f>
        <v>111</v>
      </c>
    </row>
    <row r="108" ht="12">
      <c r="A108" s="37" t="s">
        <v>841</v>
      </c>
    </row>
    <row r="109" spans="1:2" ht="12">
      <c r="A109" s="37" t="s">
        <v>842</v>
      </c>
      <c r="B109" s="55">
        <v>5</v>
      </c>
    </row>
    <row r="110" spans="1:3" ht="12">
      <c r="A110" s="37" t="s">
        <v>1228</v>
      </c>
      <c r="B110" s="55">
        <v>1950</v>
      </c>
      <c r="C110" s="55">
        <f>B109*B110*12</f>
        <v>117000</v>
      </c>
    </row>
    <row r="111" spans="1:4" ht="12">
      <c r="A111" s="37" t="s">
        <v>841</v>
      </c>
      <c r="C111" s="55">
        <f>C110</f>
        <v>117000</v>
      </c>
      <c r="D111" s="55">
        <f>ROUND(C111/1000,0)</f>
        <v>117</v>
      </c>
    </row>
    <row r="113" spans="1:4" ht="12">
      <c r="A113" s="61" t="s">
        <v>1276</v>
      </c>
      <c r="B113" s="226"/>
      <c r="C113" s="226">
        <f>C103+C106+C111</f>
        <v>1302152</v>
      </c>
      <c r="D113" s="226">
        <f>D103+D106+D111</f>
        <v>1302</v>
      </c>
    </row>
    <row r="115" ht="12">
      <c r="A115" s="61" t="s">
        <v>1278</v>
      </c>
    </row>
    <row r="117" ht="12">
      <c r="A117" s="9" t="s">
        <v>1479</v>
      </c>
    </row>
    <row r="119" ht="12">
      <c r="A119" s="37" t="s">
        <v>1480</v>
      </c>
    </row>
    <row r="121" spans="1:4" ht="12">
      <c r="A121" s="317" t="s">
        <v>1297</v>
      </c>
      <c r="B121" s="318"/>
      <c r="C121" s="318"/>
      <c r="D121" s="318"/>
    </row>
    <row r="123" spans="1:2" ht="12">
      <c r="A123" s="37" t="s">
        <v>558</v>
      </c>
      <c r="B123" s="55">
        <f>étk!$C$29</f>
        <v>23</v>
      </c>
    </row>
    <row r="124" spans="1:2" ht="12">
      <c r="A124" s="37" t="s">
        <v>1481</v>
      </c>
      <c r="B124" s="55">
        <f>étk!$B$10+étk!$B$11</f>
        <v>41</v>
      </c>
    </row>
    <row r="125" spans="1:2" ht="12">
      <c r="A125" s="37" t="s">
        <v>1482</v>
      </c>
      <c r="B125" s="55">
        <f>étk!$B$23-(étk!$B$10+étk!$B$11)</f>
        <v>154</v>
      </c>
    </row>
    <row r="126" spans="1:2" ht="12">
      <c r="A126" s="37" t="s">
        <v>509</v>
      </c>
      <c r="B126" s="234">
        <f>étk!$L$23</f>
        <v>0.7786080273270709</v>
      </c>
    </row>
    <row r="127" ht="12">
      <c r="A127" s="37" t="s">
        <v>510</v>
      </c>
    </row>
    <row r="128" spans="1:3" ht="12">
      <c r="A128" s="37" t="s">
        <v>512</v>
      </c>
      <c r="B128" s="55">
        <v>171</v>
      </c>
      <c r="C128" s="55">
        <f>B123*B124*B126*B128</f>
        <v>125552.88023057216</v>
      </c>
    </row>
    <row r="129" spans="1:3" ht="12">
      <c r="A129" s="37" t="s">
        <v>513</v>
      </c>
      <c r="B129" s="55">
        <v>171</v>
      </c>
      <c r="C129" s="55">
        <f>B123*B125*B126*B129</f>
        <v>471588.86720751494</v>
      </c>
    </row>
    <row r="130" spans="1:3" ht="12">
      <c r="A130" s="37" t="s">
        <v>514</v>
      </c>
      <c r="C130" s="55">
        <f>SUM(C128:C129)</f>
        <v>597141.7474380871</v>
      </c>
    </row>
    <row r="132" spans="1:2" ht="12">
      <c r="A132" s="37" t="s">
        <v>559</v>
      </c>
      <c r="B132" s="55">
        <f>étk!$O$29</f>
        <v>16</v>
      </c>
    </row>
    <row r="133" spans="1:2" ht="12">
      <c r="A133" s="37" t="s">
        <v>1481</v>
      </c>
      <c r="B133" s="55">
        <f>étk!$N$10+étk!$N$11</f>
        <v>41</v>
      </c>
    </row>
    <row r="134" spans="1:2" ht="12">
      <c r="A134" s="37" t="s">
        <v>1482</v>
      </c>
      <c r="B134" s="55">
        <f>étk!$N$23-(étk!$N$10+étk!$N$11)</f>
        <v>140</v>
      </c>
    </row>
    <row r="135" spans="1:2" ht="12">
      <c r="A135" s="37" t="s">
        <v>509</v>
      </c>
      <c r="B135" s="234">
        <f>étk!$U$23</f>
        <v>0.824616122840691</v>
      </c>
    </row>
    <row r="136" ht="12">
      <c r="A136" s="37" t="s">
        <v>510</v>
      </c>
    </row>
    <row r="137" spans="1:3" ht="12">
      <c r="A137" s="37" t="s">
        <v>512</v>
      </c>
      <c r="B137" s="55">
        <v>140</v>
      </c>
      <c r="C137" s="55">
        <f>B132*B133*B135*B137</f>
        <v>75732.74472168906</v>
      </c>
    </row>
    <row r="138" spans="1:3" ht="12">
      <c r="A138" s="37" t="s">
        <v>513</v>
      </c>
      <c r="B138" s="55">
        <v>140</v>
      </c>
      <c r="C138" s="55">
        <f>B132*B134*B135*B138</f>
        <v>258599.6161228407</v>
      </c>
    </row>
    <row r="139" spans="1:3" ht="12">
      <c r="A139" s="37" t="s">
        <v>515</v>
      </c>
      <c r="C139" s="55">
        <f>SUM(C137:C138)</f>
        <v>334332.36084452976</v>
      </c>
    </row>
    <row r="141" spans="1:2" ht="12">
      <c r="A141" s="37" t="s">
        <v>1299</v>
      </c>
      <c r="B141" s="55">
        <f>étk!$X$29</f>
        <v>40</v>
      </c>
    </row>
    <row r="142" spans="1:2" ht="12">
      <c r="A142" s="37" t="s">
        <v>1481</v>
      </c>
      <c r="B142" s="55">
        <f>étk!$N$10+étk!$N$11</f>
        <v>41</v>
      </c>
    </row>
    <row r="143" spans="1:2" ht="12">
      <c r="A143" s="37" t="s">
        <v>1482</v>
      </c>
      <c r="B143" s="55">
        <f>étk!$N$23-(étk!$N$10+étk!$N$11)</f>
        <v>140</v>
      </c>
    </row>
    <row r="144" spans="1:2" ht="12">
      <c r="A144" s="37" t="s">
        <v>509</v>
      </c>
      <c r="B144" s="234">
        <f>étk!$AE$23</f>
        <v>0.8601950766372504</v>
      </c>
    </row>
    <row r="145" ht="12">
      <c r="A145" s="37" t="s">
        <v>510</v>
      </c>
    </row>
    <row r="146" spans="1:3" ht="12">
      <c r="A146" s="37" t="s">
        <v>512</v>
      </c>
      <c r="B146" s="55">
        <v>240</v>
      </c>
      <c r="C146" s="55">
        <f>B141*B142*B144*B146</f>
        <v>338572.78216442175</v>
      </c>
    </row>
    <row r="147" spans="1:3" ht="12">
      <c r="A147" s="37" t="s">
        <v>513</v>
      </c>
      <c r="B147" s="55">
        <v>240</v>
      </c>
      <c r="C147" s="55">
        <f>B141*B143*B144*B147</f>
        <v>1156102.1830004645</v>
      </c>
    </row>
    <row r="148" spans="1:3" ht="12">
      <c r="A148" s="37" t="s">
        <v>516</v>
      </c>
      <c r="C148" s="55">
        <f>SUM(C146:C147)</f>
        <v>1494674.9651648863</v>
      </c>
    </row>
    <row r="150" ht="12">
      <c r="A150" s="37" t="s">
        <v>560</v>
      </c>
    </row>
    <row r="151" spans="1:2" ht="12">
      <c r="A151" s="37" t="s">
        <v>561</v>
      </c>
      <c r="B151" s="55">
        <f>étk!$AH$29</f>
        <v>0</v>
      </c>
    </row>
    <row r="152" spans="1:2" ht="12">
      <c r="A152" s="37" t="s">
        <v>1481</v>
      </c>
      <c r="B152" s="55">
        <f>étk!$AG$10+étk!$AG$11</f>
        <v>41</v>
      </c>
    </row>
    <row r="153" spans="1:2" ht="12">
      <c r="A153" s="37" t="s">
        <v>1482</v>
      </c>
      <c r="B153" s="55">
        <f>étk!$AG$23-(étk!$AG$10+étk!$AG$11)</f>
        <v>190</v>
      </c>
    </row>
    <row r="154" spans="1:2" ht="12">
      <c r="A154" s="37" t="s">
        <v>563</v>
      </c>
      <c r="B154" s="234">
        <v>0.8</v>
      </c>
    </row>
    <row r="155" ht="12">
      <c r="A155" s="37" t="s">
        <v>517</v>
      </c>
    </row>
    <row r="156" spans="1:3" ht="12">
      <c r="A156" s="37" t="s">
        <v>518</v>
      </c>
      <c r="C156" s="55">
        <f>B151*B152*B154*B156</f>
        <v>0</v>
      </c>
    </row>
    <row r="157" spans="1:3" ht="12">
      <c r="A157" s="37" t="s">
        <v>519</v>
      </c>
      <c r="C157" s="55">
        <f>B151*B153*B154*B157</f>
        <v>0</v>
      </c>
    </row>
    <row r="158" spans="1:3" ht="12">
      <c r="A158" s="37" t="s">
        <v>516</v>
      </c>
      <c r="C158" s="55">
        <f>SUM(C156:C157)</f>
        <v>0</v>
      </c>
    </row>
    <row r="160" spans="1:4" s="9" customFormat="1" ht="12">
      <c r="A160" s="37" t="s">
        <v>1451</v>
      </c>
      <c r="B160" s="55"/>
      <c r="C160" s="55"/>
      <c r="D160" s="55"/>
    </row>
    <row r="161" ht="12">
      <c r="A161" s="37" t="s">
        <v>564</v>
      </c>
    </row>
    <row r="162" spans="1:2" ht="12">
      <c r="A162" s="37" t="s">
        <v>561</v>
      </c>
      <c r="B162" s="55">
        <f>étk!AK29</f>
        <v>22</v>
      </c>
    </row>
    <row r="163" spans="1:2" ht="12">
      <c r="A163" s="37" t="s">
        <v>1481</v>
      </c>
      <c r="B163" s="55">
        <f>étk!$AG$10+étk!$AG$11</f>
        <v>41</v>
      </c>
    </row>
    <row r="164" spans="1:2" ht="12">
      <c r="A164" s="37" t="s">
        <v>1482</v>
      </c>
      <c r="B164" s="55">
        <f>étk!$AG$23-(étk!$AG$10+étk!$AG$11)</f>
        <v>190</v>
      </c>
    </row>
    <row r="165" spans="1:2" ht="12">
      <c r="A165" s="37" t="s">
        <v>563</v>
      </c>
      <c r="B165" s="234">
        <f>étk!AK25</f>
        <v>0.4853109500190767</v>
      </c>
    </row>
    <row r="166" spans="1:4" s="9" customFormat="1" ht="12">
      <c r="A166" s="37" t="s">
        <v>517</v>
      </c>
      <c r="B166" s="55"/>
      <c r="C166" s="55"/>
      <c r="D166" s="55"/>
    </row>
    <row r="167" spans="1:3" ht="12">
      <c r="A167" s="37" t="s">
        <v>518</v>
      </c>
      <c r="B167" s="55">
        <v>208</v>
      </c>
      <c r="C167" s="55">
        <f>B162*B163*B165*B167</f>
        <v>91052.0991987791</v>
      </c>
    </row>
    <row r="168" spans="1:3" ht="12">
      <c r="A168" s="37" t="s">
        <v>519</v>
      </c>
      <c r="B168" s="55">
        <v>208</v>
      </c>
      <c r="C168" s="55">
        <f>B162*B164*B165*B168</f>
        <v>421948.752384586</v>
      </c>
    </row>
    <row r="169" spans="1:3" ht="12">
      <c r="A169" s="37" t="s">
        <v>516</v>
      </c>
      <c r="C169" s="55">
        <f>SUM(C167:C168)</f>
        <v>513000.8515833651</v>
      </c>
    </row>
    <row r="171" ht="12">
      <c r="A171" s="37" t="s">
        <v>565</v>
      </c>
    </row>
    <row r="172" spans="1:2" ht="12">
      <c r="A172" s="37" t="s">
        <v>561</v>
      </c>
      <c r="B172" s="55">
        <f>étk!$AL$29</f>
        <v>0</v>
      </c>
    </row>
    <row r="173" spans="1:2" ht="12">
      <c r="A173" s="37" t="s">
        <v>1481</v>
      </c>
      <c r="B173" s="55">
        <f>étk!$AG$10+étk!$AG$11</f>
        <v>41</v>
      </c>
    </row>
    <row r="174" spans="1:2" ht="12">
      <c r="A174" s="37" t="s">
        <v>1482</v>
      </c>
      <c r="B174" s="55">
        <f>étk!$AG$23-(étk!$AG$10+étk!$AG$11)</f>
        <v>190</v>
      </c>
    </row>
    <row r="175" spans="1:2" ht="12">
      <c r="A175" s="37" t="s">
        <v>563</v>
      </c>
      <c r="B175" s="234">
        <f>étk!$AN$23</f>
        <v>0.7712034656563719</v>
      </c>
    </row>
    <row r="176" ht="12">
      <c r="A176" s="37" t="s">
        <v>517</v>
      </c>
    </row>
    <row r="177" spans="1:3" ht="12">
      <c r="A177" s="37" t="s">
        <v>518</v>
      </c>
      <c r="B177" s="55">
        <v>208</v>
      </c>
      <c r="C177" s="55">
        <f>B172*B173*B175*B177</f>
        <v>0</v>
      </c>
    </row>
    <row r="178" spans="1:3" ht="12">
      <c r="A178" s="37" t="s">
        <v>519</v>
      </c>
      <c r="B178" s="55">
        <v>208</v>
      </c>
      <c r="C178" s="55">
        <f>B172*B174*B175*B178</f>
        <v>0</v>
      </c>
    </row>
    <row r="179" spans="1:3" ht="12">
      <c r="A179" s="37" t="s">
        <v>516</v>
      </c>
      <c r="C179" s="55">
        <f>SUM(C177:C178)</f>
        <v>0</v>
      </c>
    </row>
    <row r="180" spans="1:4" s="9" customFormat="1" ht="12">
      <c r="A180" s="37"/>
      <c r="B180" s="63" t="s">
        <v>1364</v>
      </c>
      <c r="C180" s="55"/>
      <c r="D180" s="55"/>
    </row>
    <row r="181" spans="1:4" ht="12">
      <c r="A181" s="37" t="s">
        <v>520</v>
      </c>
      <c r="B181" s="142"/>
      <c r="C181" s="55">
        <f>C130+C139+C148+C158+C169+C179</f>
        <v>2939149.9250308685</v>
      </c>
      <c r="D181" s="55">
        <f>ROUND(C181/1000,0)</f>
        <v>2939</v>
      </c>
    </row>
    <row r="182" spans="1:4" s="61" customFormat="1" ht="12">
      <c r="A182" s="37" t="s">
        <v>139</v>
      </c>
      <c r="B182" s="13">
        <v>35446</v>
      </c>
      <c r="C182" s="55">
        <v>50000</v>
      </c>
      <c r="D182" s="55">
        <f aca="true" t="shared" si="0" ref="D182:D188">ROUND(C182/1000,0)</f>
        <v>50</v>
      </c>
    </row>
    <row r="183" spans="1:4" ht="12">
      <c r="A183" s="37" t="s">
        <v>1338</v>
      </c>
      <c r="B183" s="13"/>
      <c r="D183" s="55">
        <f t="shared" si="0"/>
        <v>0</v>
      </c>
    </row>
    <row r="184" spans="1:4" s="61" customFormat="1" ht="12">
      <c r="A184" s="37" t="s">
        <v>1339</v>
      </c>
      <c r="B184" s="13"/>
      <c r="C184" s="55"/>
      <c r="D184" s="55">
        <f t="shared" si="0"/>
        <v>0</v>
      </c>
    </row>
    <row r="185" spans="1:4" ht="12">
      <c r="A185" s="37" t="s">
        <v>1341</v>
      </c>
      <c r="B185" s="13">
        <v>16611</v>
      </c>
      <c r="C185" s="55">
        <v>30000</v>
      </c>
      <c r="D185" s="55">
        <f t="shared" si="0"/>
        <v>30</v>
      </c>
    </row>
    <row r="186" spans="1:4" ht="12">
      <c r="A186" s="37" t="s">
        <v>1340</v>
      </c>
      <c r="B186" s="13"/>
      <c r="C186" s="55">
        <v>50000</v>
      </c>
      <c r="D186" s="55">
        <f t="shared" si="0"/>
        <v>50</v>
      </c>
    </row>
    <row r="187" spans="1:4" ht="12">
      <c r="A187" s="37" t="s">
        <v>1342</v>
      </c>
      <c r="B187" s="13"/>
      <c r="D187" s="55">
        <f t="shared" si="0"/>
        <v>0</v>
      </c>
    </row>
    <row r="188" spans="1:4" ht="12">
      <c r="A188" s="37" t="s">
        <v>143</v>
      </c>
      <c r="B188" s="13">
        <v>424005</v>
      </c>
      <c r="C188" s="55">
        <v>450000</v>
      </c>
      <c r="D188" s="55">
        <f t="shared" si="0"/>
        <v>450</v>
      </c>
    </row>
    <row r="189" spans="1:4" ht="12">
      <c r="A189" s="9" t="s">
        <v>521</v>
      </c>
      <c r="B189" s="13">
        <f>SUM(B181:B188)</f>
        <v>476062</v>
      </c>
      <c r="C189" s="243">
        <f>SUM(C181:C188)</f>
        <v>3519149.9250308685</v>
      </c>
      <c r="D189" s="243">
        <f>SUM(D181:D188)</f>
        <v>3519</v>
      </c>
    </row>
    <row r="191" spans="1:2" ht="12">
      <c r="A191" s="9" t="s">
        <v>847</v>
      </c>
      <c r="B191" s="63" t="s">
        <v>1364</v>
      </c>
    </row>
    <row r="192" spans="1:4" ht="12">
      <c r="A192" s="37" t="s">
        <v>333</v>
      </c>
      <c r="B192" s="63"/>
      <c r="C192" s="55">
        <v>0</v>
      </c>
      <c r="D192" s="55">
        <f aca="true" t="shared" si="1" ref="D192:D198">ROUND(C192/1000,0)</f>
        <v>0</v>
      </c>
    </row>
    <row r="193" spans="1:4" ht="12">
      <c r="A193" s="37" t="s">
        <v>154</v>
      </c>
      <c r="B193" s="63">
        <v>440918</v>
      </c>
      <c r="C193" s="55">
        <v>450000</v>
      </c>
      <c r="D193" s="55">
        <f t="shared" si="1"/>
        <v>450</v>
      </c>
    </row>
    <row r="194" spans="1:4" ht="12">
      <c r="A194" s="37" t="s">
        <v>155</v>
      </c>
      <c r="B194" s="63">
        <v>20519</v>
      </c>
      <c r="C194" s="55">
        <v>25000</v>
      </c>
      <c r="D194" s="55">
        <f t="shared" si="1"/>
        <v>25</v>
      </c>
    </row>
    <row r="195" spans="1:4" ht="12">
      <c r="A195" s="37" t="s">
        <v>156</v>
      </c>
      <c r="B195" s="63">
        <v>10564</v>
      </c>
      <c r="C195" s="55">
        <v>15000</v>
      </c>
      <c r="D195" s="55">
        <f t="shared" si="1"/>
        <v>15</v>
      </c>
    </row>
    <row r="196" spans="1:4" ht="12">
      <c r="A196" s="37" t="s">
        <v>522</v>
      </c>
      <c r="B196" s="13">
        <v>73834</v>
      </c>
      <c r="C196" s="55">
        <v>80000</v>
      </c>
      <c r="D196" s="55">
        <f t="shared" si="1"/>
        <v>80</v>
      </c>
    </row>
    <row r="197" spans="1:4" ht="12">
      <c r="A197" s="37" t="s">
        <v>157</v>
      </c>
      <c r="B197" s="13">
        <v>35446</v>
      </c>
      <c r="C197" s="55">
        <v>30000</v>
      </c>
      <c r="D197" s="55">
        <f t="shared" si="1"/>
        <v>30</v>
      </c>
    </row>
    <row r="198" spans="1:4" ht="12">
      <c r="A198" s="37" t="s">
        <v>523</v>
      </c>
      <c r="B198" s="13">
        <v>135000</v>
      </c>
      <c r="C198" s="55">
        <v>70000</v>
      </c>
      <c r="D198" s="55">
        <f t="shared" si="1"/>
        <v>70</v>
      </c>
    </row>
    <row r="199" spans="1:4" ht="12">
      <c r="A199" s="9" t="s">
        <v>847</v>
      </c>
      <c r="B199" s="243"/>
      <c r="C199" s="243">
        <f>SUM(C192:C198)</f>
        <v>670000</v>
      </c>
      <c r="D199" s="243">
        <f>SUM(D192:D198)</f>
        <v>670</v>
      </c>
    </row>
    <row r="201" ht="12">
      <c r="A201" s="9" t="s">
        <v>851</v>
      </c>
    </row>
    <row r="202" spans="1:3" ht="12">
      <c r="A202" s="37" t="s">
        <v>524</v>
      </c>
      <c r="B202" s="14" t="s">
        <v>525</v>
      </c>
      <c r="C202" s="14" t="s">
        <v>854</v>
      </c>
    </row>
    <row r="203" spans="1:3" ht="12">
      <c r="A203" s="37" t="s">
        <v>1304</v>
      </c>
      <c r="C203" s="55">
        <f>B203*15%</f>
        <v>0</v>
      </c>
    </row>
    <row r="204" spans="1:3" ht="12">
      <c r="A204" s="37" t="s">
        <v>1303</v>
      </c>
      <c r="B204" s="55">
        <f>C189+C199</f>
        <v>4189149.9250308685</v>
      </c>
      <c r="C204" s="55">
        <f>B204*20%</f>
        <v>837829.9850061737</v>
      </c>
    </row>
    <row r="205" spans="1:4" ht="12">
      <c r="A205" s="37" t="s">
        <v>1111</v>
      </c>
      <c r="C205" s="55">
        <f>SUM(C203:C204)</f>
        <v>837829.9850061737</v>
      </c>
      <c r="D205" s="55">
        <f>ROUND(C205/1000,0)</f>
        <v>838</v>
      </c>
    </row>
    <row r="207" ht="12">
      <c r="A207" s="37" t="s">
        <v>1114</v>
      </c>
    </row>
    <row r="208" spans="1:4" ht="12">
      <c r="A208" s="37" t="s">
        <v>526</v>
      </c>
      <c r="C208" s="55">
        <v>5000</v>
      </c>
      <c r="D208" s="55">
        <f>ROUND(C208/1000,0)</f>
        <v>5</v>
      </c>
    </row>
    <row r="209" spans="1:4" ht="12">
      <c r="A209" s="9" t="s">
        <v>851</v>
      </c>
      <c r="B209" s="243"/>
      <c r="C209" s="243">
        <f>C205+C208</f>
        <v>842829.9850061737</v>
      </c>
      <c r="D209" s="243">
        <f>D205+D208</f>
        <v>843</v>
      </c>
    </row>
    <row r="211" spans="1:4" ht="12">
      <c r="A211" s="61" t="s">
        <v>304</v>
      </c>
      <c r="B211" s="226"/>
      <c r="C211" s="226">
        <f>C189+C199+C209</f>
        <v>5031979.910037043</v>
      </c>
      <c r="D211" s="226">
        <f>D189+D199+D209</f>
        <v>5032</v>
      </c>
    </row>
    <row r="213" spans="1:4" ht="12">
      <c r="A213" s="61" t="s">
        <v>527</v>
      </c>
      <c r="B213" s="226"/>
      <c r="C213" s="226">
        <f>C94+C113+C211</f>
        <v>10757731.910037043</v>
      </c>
      <c r="D213" s="226">
        <f>D94+D113+D211</f>
        <v>10758</v>
      </c>
    </row>
    <row r="216" ht="12">
      <c r="A216" s="37" t="s">
        <v>528</v>
      </c>
    </row>
    <row r="218" spans="1:3" ht="12">
      <c r="A218" s="37" t="s">
        <v>1374</v>
      </c>
      <c r="C218" s="55">
        <f>C70</f>
        <v>3703600</v>
      </c>
    </row>
    <row r="219" spans="1:3" ht="12">
      <c r="A219" s="37" t="s">
        <v>1375</v>
      </c>
      <c r="C219" s="55">
        <f>C92</f>
        <v>720000</v>
      </c>
    </row>
    <row r="220" spans="1:3" ht="12">
      <c r="A220" s="37" t="s">
        <v>1376</v>
      </c>
      <c r="C220" s="55">
        <f>C113</f>
        <v>1302152</v>
      </c>
    </row>
    <row r="221" spans="1:3" ht="12">
      <c r="A221" s="37" t="s">
        <v>1377</v>
      </c>
      <c r="C221" s="55">
        <f>C211</f>
        <v>5031979.910037043</v>
      </c>
    </row>
    <row r="222" spans="1:3" ht="12">
      <c r="A222" s="37" t="s">
        <v>1378</v>
      </c>
      <c r="C222" s="55">
        <f>SUM(C218:C221)</f>
        <v>10757731.910037043</v>
      </c>
    </row>
    <row r="224" ht="12">
      <c r="A224" s="37" t="s">
        <v>1379</v>
      </c>
    </row>
    <row r="226" spans="1:4" ht="12">
      <c r="A226" s="37" t="s">
        <v>1380</v>
      </c>
      <c r="C226" s="55">
        <f>C130</f>
        <v>597141.7474380871</v>
      </c>
      <c r="D226" s="234">
        <f>C226/C230</f>
        <v>0.20316818218513152</v>
      </c>
    </row>
    <row r="227" spans="1:4" ht="12">
      <c r="A227" s="37" t="s">
        <v>1381</v>
      </c>
      <c r="C227" s="55">
        <f>C139+C148</f>
        <v>1829007.326009416</v>
      </c>
      <c r="D227" s="234">
        <f>C227/C230</f>
        <v>0.6222912653869492</v>
      </c>
    </row>
    <row r="228" spans="1:4" ht="12">
      <c r="A228" s="37" t="s">
        <v>1382</v>
      </c>
      <c r="C228" s="55">
        <f>C158+C169</f>
        <v>513000.8515833651</v>
      </c>
      <c r="D228" s="234">
        <f>C228/C230</f>
        <v>0.17454055242791922</v>
      </c>
    </row>
    <row r="229" spans="1:4" ht="12">
      <c r="A229" s="37" t="s">
        <v>1309</v>
      </c>
      <c r="C229" s="55">
        <f>C179</f>
        <v>0</v>
      </c>
      <c r="D229" s="234">
        <f>C229/C230</f>
        <v>0</v>
      </c>
    </row>
    <row r="230" spans="1:4" ht="12">
      <c r="A230" s="37" t="s">
        <v>345</v>
      </c>
      <c r="C230" s="55">
        <f>SUM(C226:C229)</f>
        <v>2939149.9250308685</v>
      </c>
      <c r="D230" s="234">
        <f>SUM(D226:D229)</f>
        <v>1</v>
      </c>
    </row>
    <row r="232" ht="12">
      <c r="A232" s="37" t="s">
        <v>1383</v>
      </c>
    </row>
    <row r="233" spans="1:3" ht="12">
      <c r="A233" s="37" t="s">
        <v>1384</v>
      </c>
      <c r="C233" s="55">
        <f>C218*D226</f>
        <v>752453.6795408531</v>
      </c>
    </row>
    <row r="234" spans="1:3" ht="12">
      <c r="A234" s="37" t="s">
        <v>1533</v>
      </c>
      <c r="C234" s="55">
        <f>C218*D227</f>
        <v>2304717.930487105</v>
      </c>
    </row>
    <row r="235" spans="1:3" ht="12">
      <c r="A235" s="37" t="s">
        <v>1534</v>
      </c>
      <c r="C235" s="55">
        <f>C218*D228</f>
        <v>646428.3899720416</v>
      </c>
    </row>
    <row r="236" spans="1:3" ht="12">
      <c r="A236" s="37" t="s">
        <v>1310</v>
      </c>
      <c r="C236" s="55">
        <f>C218*D$229</f>
        <v>0</v>
      </c>
    </row>
    <row r="237" spans="1:3" ht="12">
      <c r="A237" s="37" t="s">
        <v>345</v>
      </c>
      <c r="B237" s="55">
        <f>C218</f>
        <v>3703600</v>
      </c>
      <c r="C237" s="55">
        <f>SUM(C233:C236)</f>
        <v>3703600</v>
      </c>
    </row>
    <row r="239" ht="12">
      <c r="A239" s="37" t="s">
        <v>1535</v>
      </c>
    </row>
    <row r="240" spans="1:3" ht="12">
      <c r="A240" s="37" t="s">
        <v>1384</v>
      </c>
      <c r="C240" s="55">
        <f>C219*D226</f>
        <v>146281.0911732947</v>
      </c>
    </row>
    <row r="241" spans="1:3" ht="12">
      <c r="A241" s="37" t="s">
        <v>1533</v>
      </c>
      <c r="C241" s="55">
        <f>C219*D227</f>
        <v>448049.71107860346</v>
      </c>
    </row>
    <row r="242" spans="1:3" ht="12">
      <c r="A242" s="37" t="s">
        <v>1534</v>
      </c>
      <c r="C242" s="55">
        <f>C219*D228</f>
        <v>125669.19774810184</v>
      </c>
    </row>
    <row r="243" spans="1:3" ht="12">
      <c r="A243" s="37" t="s">
        <v>1310</v>
      </c>
      <c r="C243" s="55">
        <f>C219*D229</f>
        <v>0</v>
      </c>
    </row>
    <row r="244" spans="1:3" ht="12">
      <c r="A244" s="37" t="s">
        <v>345</v>
      </c>
      <c r="B244" s="55">
        <f>C219</f>
        <v>720000</v>
      </c>
      <c r="C244" s="55">
        <f>SUM(C240:C243)</f>
        <v>720000</v>
      </c>
    </row>
    <row r="246" ht="12">
      <c r="A246" s="37" t="s">
        <v>1536</v>
      </c>
    </row>
    <row r="247" spans="1:3" ht="12">
      <c r="A247" s="37" t="s">
        <v>1384</v>
      </c>
      <c r="C247" s="55">
        <f>C220*D226</f>
        <v>264555.8547687334</v>
      </c>
    </row>
    <row r="248" spans="1:3" ht="12">
      <c r="A248" s="37" t="s">
        <v>1533</v>
      </c>
      <c r="C248" s="55">
        <f>C220*D227</f>
        <v>810317.8158061467</v>
      </c>
    </row>
    <row r="249" spans="1:3" ht="12">
      <c r="A249" s="37" t="s">
        <v>1534</v>
      </c>
      <c r="C249" s="55">
        <f>C220*D228</f>
        <v>227278.32942511985</v>
      </c>
    </row>
    <row r="250" spans="1:3" ht="12">
      <c r="A250" s="37" t="s">
        <v>1310</v>
      </c>
      <c r="C250" s="55">
        <f>C220*D229</f>
        <v>0</v>
      </c>
    </row>
    <row r="251" spans="1:3" ht="12">
      <c r="A251" s="37" t="s">
        <v>345</v>
      </c>
      <c r="B251" s="55">
        <f>C220</f>
        <v>1302152</v>
      </c>
      <c r="C251" s="55">
        <f>SUM(C247:C250)</f>
        <v>1302152</v>
      </c>
    </row>
    <row r="253" ht="12">
      <c r="A253" s="37" t="s">
        <v>1537</v>
      </c>
    </row>
    <row r="254" spans="1:3" ht="12">
      <c r="A254" s="37" t="s">
        <v>1384</v>
      </c>
      <c r="C254" s="55">
        <f>C221*D226</f>
        <v>1022338.2111143277</v>
      </c>
    </row>
    <row r="255" spans="1:3" ht="12">
      <c r="A255" s="37" t="s">
        <v>1533</v>
      </c>
      <c r="C255" s="55">
        <f>C221*D227</f>
        <v>3131357.145618658</v>
      </c>
    </row>
    <row r="256" spans="1:3" ht="12">
      <c r="A256" s="37" t="s">
        <v>1534</v>
      </c>
      <c r="C256" s="55">
        <f>C221*D228</f>
        <v>878284.5533040566</v>
      </c>
    </row>
    <row r="257" spans="1:3" ht="12">
      <c r="A257" s="37" t="s">
        <v>1310</v>
      </c>
      <c r="C257" s="55">
        <f>C221*D229</f>
        <v>0</v>
      </c>
    </row>
    <row r="258" spans="1:3" ht="12">
      <c r="A258" s="37" t="s">
        <v>345</v>
      </c>
      <c r="B258" s="55">
        <f>C221</f>
        <v>5031979.910037043</v>
      </c>
      <c r="C258" s="55">
        <f>SUM(C254:C257)</f>
        <v>5031979.910037043</v>
      </c>
    </row>
    <row r="261" spans="1:3" ht="12">
      <c r="A261" s="37" t="s">
        <v>1538</v>
      </c>
      <c r="B261" s="55">
        <f>B237+B244+B251+B258</f>
        <v>10757731.910037043</v>
      </c>
      <c r="C261" s="55">
        <f>C237+C244+C251+C258</f>
        <v>10757731.910037043</v>
      </c>
    </row>
  </sheetData>
  <mergeCells count="6">
    <mergeCell ref="A54:D54"/>
    <mergeCell ref="A121:D121"/>
    <mergeCell ref="A1:D1"/>
    <mergeCell ref="A5:D5"/>
    <mergeCell ref="A20:D20"/>
    <mergeCell ref="A35:D35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KÖLTSÉGVETÉSE&amp;R&amp;"Arial,Dőlt"&amp;8Étkeztetési feladatok</oddHeader>
    <oddFooter>&amp;C&amp;"Arial,Dőlt"&amp;8&amp;P. oldal</oddFooter>
  </headerFooter>
  <rowBreaks count="3" manualBreakCount="3">
    <brk id="90" max="255" man="1"/>
    <brk id="130" max="255" man="1"/>
    <brk id="1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31"/>
  <sheetViews>
    <sheetView workbookViewId="0" topLeftCell="A1">
      <pane xSplit="1" ySplit="8" topLeftCell="AH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P15" sqref="AP15"/>
    </sheetView>
  </sheetViews>
  <sheetFormatPr defaultColWidth="9.00390625" defaultRowHeight="12.75"/>
  <cols>
    <col min="1" max="1" width="22.625" style="37" bestFit="1" customWidth="1"/>
    <col min="2" max="2" width="7.375" style="55" customWidth="1"/>
    <col min="3" max="3" width="7.875" style="55" customWidth="1"/>
    <col min="4" max="4" width="9.125" style="55" customWidth="1"/>
    <col min="5" max="5" width="9.875" style="55" customWidth="1"/>
    <col min="6" max="6" width="9.375" style="55" customWidth="1"/>
    <col min="7" max="7" width="7.875" style="55" customWidth="1"/>
    <col min="8" max="8" width="9.00390625" style="55" customWidth="1"/>
    <col min="9" max="9" width="7.125" style="55" customWidth="1"/>
    <col min="10" max="11" width="7.875" style="55" customWidth="1"/>
    <col min="12" max="12" width="8.625" style="234" customWidth="1"/>
    <col min="13" max="13" width="22.625" style="37" bestFit="1" customWidth="1"/>
    <col min="14" max="14" width="9.375" style="55" bestFit="1" customWidth="1"/>
    <col min="15" max="20" width="8.75390625" style="55" customWidth="1"/>
    <col min="21" max="21" width="8.75390625" style="234" customWidth="1"/>
    <col min="22" max="22" width="22.625" style="37" bestFit="1" customWidth="1"/>
    <col min="23" max="23" width="9.375" style="55" bestFit="1" customWidth="1"/>
    <col min="24" max="24" width="9.25390625" style="55" bestFit="1" customWidth="1"/>
    <col min="25" max="26" width="10.00390625" style="55" bestFit="1" customWidth="1"/>
    <col min="27" max="30" width="10.00390625" style="55" customWidth="1"/>
    <col min="31" max="31" width="9.25390625" style="234" bestFit="1" customWidth="1"/>
    <col min="32" max="32" width="12.125" style="37" customWidth="1"/>
    <col min="33" max="39" width="8.75390625" style="55" customWidth="1"/>
    <col min="40" max="16384" width="9.125" style="37" customWidth="1"/>
  </cols>
  <sheetData>
    <row r="1" spans="1:40" ht="12.75" customHeight="1">
      <c r="A1" s="324" t="s">
        <v>913</v>
      </c>
      <c r="B1" s="321" t="s">
        <v>914</v>
      </c>
      <c r="C1" s="329" t="s">
        <v>915</v>
      </c>
      <c r="D1" s="330"/>
      <c r="E1" s="330"/>
      <c r="F1" s="330"/>
      <c r="G1" s="330"/>
      <c r="H1" s="330"/>
      <c r="I1" s="330"/>
      <c r="J1" s="330"/>
      <c r="K1" s="330"/>
      <c r="L1" s="331"/>
      <c r="M1" s="324" t="s">
        <v>913</v>
      </c>
      <c r="N1" s="321" t="s">
        <v>914</v>
      </c>
      <c r="O1" s="310" t="s">
        <v>916</v>
      </c>
      <c r="P1" s="311"/>
      <c r="Q1" s="311"/>
      <c r="R1" s="311"/>
      <c r="S1" s="311"/>
      <c r="T1" s="311"/>
      <c r="U1" s="306"/>
      <c r="V1" s="324" t="s">
        <v>913</v>
      </c>
      <c r="W1" s="321" t="s">
        <v>914</v>
      </c>
      <c r="X1" s="310" t="s">
        <v>1298</v>
      </c>
      <c r="Y1" s="341"/>
      <c r="Z1" s="341"/>
      <c r="AA1" s="341"/>
      <c r="AB1" s="341"/>
      <c r="AC1" s="341"/>
      <c r="AD1" s="341"/>
      <c r="AE1" s="342"/>
      <c r="AF1" s="324" t="s">
        <v>913</v>
      </c>
      <c r="AG1" s="321" t="s">
        <v>1300</v>
      </c>
      <c r="AH1" s="321" t="s">
        <v>562</v>
      </c>
      <c r="AI1" s="321" t="s">
        <v>42</v>
      </c>
      <c r="AJ1" s="321" t="s">
        <v>1449</v>
      </c>
      <c r="AK1" s="321" t="s">
        <v>917</v>
      </c>
      <c r="AL1" s="321" t="s">
        <v>511</v>
      </c>
      <c r="AM1" s="321" t="s">
        <v>1301</v>
      </c>
      <c r="AN1" s="348" t="s">
        <v>924</v>
      </c>
    </row>
    <row r="2" spans="1:40" ht="12">
      <c r="A2" s="325"/>
      <c r="B2" s="322"/>
      <c r="C2" s="332"/>
      <c r="D2" s="333"/>
      <c r="E2" s="333"/>
      <c r="F2" s="333"/>
      <c r="G2" s="333"/>
      <c r="H2" s="333"/>
      <c r="I2" s="333"/>
      <c r="J2" s="333"/>
      <c r="K2" s="333"/>
      <c r="L2" s="334"/>
      <c r="M2" s="325"/>
      <c r="N2" s="322"/>
      <c r="O2" s="312"/>
      <c r="P2" s="313"/>
      <c r="Q2" s="313"/>
      <c r="R2" s="313"/>
      <c r="S2" s="313"/>
      <c r="T2" s="313"/>
      <c r="U2" s="307"/>
      <c r="V2" s="325"/>
      <c r="W2" s="322"/>
      <c r="X2" s="343"/>
      <c r="Y2" s="344"/>
      <c r="Z2" s="344"/>
      <c r="AA2" s="344"/>
      <c r="AB2" s="344"/>
      <c r="AC2" s="344"/>
      <c r="AD2" s="344"/>
      <c r="AE2" s="345"/>
      <c r="AF2" s="325"/>
      <c r="AG2" s="339"/>
      <c r="AH2" s="346"/>
      <c r="AI2" s="346"/>
      <c r="AJ2" s="346"/>
      <c r="AK2" s="346"/>
      <c r="AL2" s="322"/>
      <c r="AM2" s="322"/>
      <c r="AN2" s="305"/>
    </row>
    <row r="3" spans="1:40" ht="12">
      <c r="A3" s="325"/>
      <c r="B3" s="322"/>
      <c r="C3" s="327" t="s">
        <v>918</v>
      </c>
      <c r="D3" s="322" t="s">
        <v>919</v>
      </c>
      <c r="E3" s="322" t="s">
        <v>920</v>
      </c>
      <c r="F3" s="322" t="s">
        <v>40</v>
      </c>
      <c r="G3" s="322" t="s">
        <v>921</v>
      </c>
      <c r="H3" s="322" t="s">
        <v>922</v>
      </c>
      <c r="I3" s="337" t="s">
        <v>923</v>
      </c>
      <c r="J3" s="338"/>
      <c r="K3" s="314"/>
      <c r="L3" s="308" t="s">
        <v>924</v>
      </c>
      <c r="M3" s="325"/>
      <c r="N3" s="322"/>
      <c r="O3" s="327" t="s">
        <v>918</v>
      </c>
      <c r="P3" s="322" t="s">
        <v>919</v>
      </c>
      <c r="Q3" s="322" t="s">
        <v>920</v>
      </c>
      <c r="R3" s="322" t="s">
        <v>40</v>
      </c>
      <c r="S3" s="322" t="s">
        <v>921</v>
      </c>
      <c r="T3" s="321" t="s">
        <v>266</v>
      </c>
      <c r="U3" s="305" t="s">
        <v>924</v>
      </c>
      <c r="V3" s="325"/>
      <c r="W3" s="322"/>
      <c r="X3" s="327" t="s">
        <v>918</v>
      </c>
      <c r="Y3" s="322" t="s">
        <v>919</v>
      </c>
      <c r="Z3" s="322" t="s">
        <v>920</v>
      </c>
      <c r="AA3" s="322" t="s">
        <v>40</v>
      </c>
      <c r="AB3" s="322" t="s">
        <v>921</v>
      </c>
      <c r="AC3" s="321" t="s">
        <v>926</v>
      </c>
      <c r="AD3" s="321" t="s">
        <v>43</v>
      </c>
      <c r="AE3" s="308" t="s">
        <v>924</v>
      </c>
      <c r="AF3" s="325"/>
      <c r="AG3" s="339"/>
      <c r="AH3" s="346"/>
      <c r="AI3" s="346"/>
      <c r="AJ3" s="346"/>
      <c r="AK3" s="346"/>
      <c r="AL3" s="322"/>
      <c r="AM3" s="322"/>
      <c r="AN3" s="305"/>
    </row>
    <row r="4" spans="1:40" ht="12">
      <c r="A4" s="325"/>
      <c r="B4" s="322"/>
      <c r="C4" s="327"/>
      <c r="D4" s="322"/>
      <c r="E4" s="322"/>
      <c r="F4" s="322"/>
      <c r="G4" s="322"/>
      <c r="H4" s="322"/>
      <c r="I4" s="312"/>
      <c r="J4" s="313"/>
      <c r="K4" s="307"/>
      <c r="L4" s="308"/>
      <c r="M4" s="325"/>
      <c r="N4" s="322"/>
      <c r="O4" s="327"/>
      <c r="P4" s="322"/>
      <c r="Q4" s="322"/>
      <c r="R4" s="322"/>
      <c r="S4" s="322"/>
      <c r="T4" s="339"/>
      <c r="U4" s="305"/>
      <c r="V4" s="325"/>
      <c r="W4" s="322"/>
      <c r="X4" s="327"/>
      <c r="Y4" s="322"/>
      <c r="Z4" s="322"/>
      <c r="AA4" s="322"/>
      <c r="AB4" s="322"/>
      <c r="AC4" s="322"/>
      <c r="AD4" s="339"/>
      <c r="AE4" s="308"/>
      <c r="AF4" s="325"/>
      <c r="AG4" s="339"/>
      <c r="AH4" s="346"/>
      <c r="AI4" s="346"/>
      <c r="AJ4" s="346"/>
      <c r="AK4" s="346"/>
      <c r="AL4" s="322"/>
      <c r="AM4" s="322"/>
      <c r="AN4" s="305"/>
    </row>
    <row r="5" spans="1:40" ht="12">
      <c r="A5" s="325"/>
      <c r="B5" s="322"/>
      <c r="C5" s="327"/>
      <c r="D5" s="322"/>
      <c r="E5" s="322"/>
      <c r="F5" s="322"/>
      <c r="G5" s="322"/>
      <c r="H5" s="322"/>
      <c r="I5" s="322" t="s">
        <v>41</v>
      </c>
      <c r="J5" s="322" t="s">
        <v>925</v>
      </c>
      <c r="K5" s="335" t="s">
        <v>926</v>
      </c>
      <c r="L5" s="308"/>
      <c r="M5" s="325"/>
      <c r="N5" s="322"/>
      <c r="O5" s="327"/>
      <c r="P5" s="322"/>
      <c r="Q5" s="322"/>
      <c r="R5" s="322"/>
      <c r="S5" s="322"/>
      <c r="T5" s="339"/>
      <c r="U5" s="305"/>
      <c r="V5" s="325"/>
      <c r="W5" s="322"/>
      <c r="X5" s="327"/>
      <c r="Y5" s="322"/>
      <c r="Z5" s="322"/>
      <c r="AA5" s="322"/>
      <c r="AB5" s="322"/>
      <c r="AC5" s="322"/>
      <c r="AD5" s="339"/>
      <c r="AE5" s="308"/>
      <c r="AF5" s="325"/>
      <c r="AG5" s="339"/>
      <c r="AH5" s="346"/>
      <c r="AI5" s="346"/>
      <c r="AJ5" s="346"/>
      <c r="AK5" s="346"/>
      <c r="AL5" s="322"/>
      <c r="AM5" s="322"/>
      <c r="AN5" s="305"/>
    </row>
    <row r="6" spans="1:40" ht="12">
      <c r="A6" s="325"/>
      <c r="B6" s="322"/>
      <c r="C6" s="327"/>
      <c r="D6" s="322"/>
      <c r="E6" s="322"/>
      <c r="F6" s="322"/>
      <c r="G6" s="322"/>
      <c r="H6" s="322"/>
      <c r="I6" s="322"/>
      <c r="J6" s="322"/>
      <c r="K6" s="335"/>
      <c r="L6" s="308"/>
      <c r="M6" s="325"/>
      <c r="N6" s="322"/>
      <c r="O6" s="327"/>
      <c r="P6" s="322"/>
      <c r="Q6" s="322"/>
      <c r="R6" s="322"/>
      <c r="S6" s="322"/>
      <c r="T6" s="339"/>
      <c r="U6" s="305"/>
      <c r="V6" s="325"/>
      <c r="W6" s="322"/>
      <c r="X6" s="327"/>
      <c r="Y6" s="322"/>
      <c r="Z6" s="322"/>
      <c r="AA6" s="322"/>
      <c r="AB6" s="322"/>
      <c r="AC6" s="322"/>
      <c r="AD6" s="339"/>
      <c r="AE6" s="308"/>
      <c r="AF6" s="325"/>
      <c r="AG6" s="339"/>
      <c r="AH6" s="346"/>
      <c r="AI6" s="346"/>
      <c r="AJ6" s="346"/>
      <c r="AK6" s="346"/>
      <c r="AL6" s="322"/>
      <c r="AM6" s="322"/>
      <c r="AN6" s="305"/>
    </row>
    <row r="7" spans="1:40" ht="12">
      <c r="A7" s="325"/>
      <c r="B7" s="322"/>
      <c r="C7" s="327"/>
      <c r="D7" s="322"/>
      <c r="E7" s="322"/>
      <c r="F7" s="322"/>
      <c r="G7" s="322"/>
      <c r="H7" s="322"/>
      <c r="I7" s="322"/>
      <c r="J7" s="322"/>
      <c r="K7" s="335"/>
      <c r="L7" s="308"/>
      <c r="M7" s="325"/>
      <c r="N7" s="322"/>
      <c r="O7" s="327"/>
      <c r="P7" s="322"/>
      <c r="Q7" s="322"/>
      <c r="R7" s="322"/>
      <c r="S7" s="322"/>
      <c r="T7" s="339"/>
      <c r="U7" s="305"/>
      <c r="V7" s="325"/>
      <c r="W7" s="322"/>
      <c r="X7" s="327"/>
      <c r="Y7" s="322"/>
      <c r="Z7" s="322"/>
      <c r="AA7" s="322"/>
      <c r="AB7" s="322"/>
      <c r="AC7" s="351"/>
      <c r="AD7" s="339"/>
      <c r="AE7" s="308"/>
      <c r="AF7" s="325"/>
      <c r="AG7" s="339"/>
      <c r="AH7" s="346"/>
      <c r="AI7" s="346"/>
      <c r="AJ7" s="346"/>
      <c r="AK7" s="346"/>
      <c r="AL7" s="322"/>
      <c r="AM7" s="322"/>
      <c r="AN7" s="349"/>
    </row>
    <row r="8" spans="1:40" ht="31.5" customHeight="1" thickBot="1">
      <c r="A8" s="326"/>
      <c r="B8" s="323"/>
      <c r="C8" s="328"/>
      <c r="D8" s="323"/>
      <c r="E8" s="323"/>
      <c r="F8" s="323"/>
      <c r="G8" s="323"/>
      <c r="H8" s="323"/>
      <c r="I8" s="323"/>
      <c r="J8" s="323"/>
      <c r="K8" s="336"/>
      <c r="L8" s="309"/>
      <c r="M8" s="326"/>
      <c r="N8" s="323"/>
      <c r="O8" s="328"/>
      <c r="P8" s="323"/>
      <c r="Q8" s="323"/>
      <c r="R8" s="323"/>
      <c r="S8" s="323"/>
      <c r="T8" s="340"/>
      <c r="U8" s="304"/>
      <c r="V8" s="326"/>
      <c r="W8" s="323"/>
      <c r="X8" s="328"/>
      <c r="Y8" s="323"/>
      <c r="Z8" s="323"/>
      <c r="AA8" s="323"/>
      <c r="AB8" s="323"/>
      <c r="AC8" s="352"/>
      <c r="AD8" s="340"/>
      <c r="AE8" s="309"/>
      <c r="AF8" s="326"/>
      <c r="AG8" s="340"/>
      <c r="AH8" s="347"/>
      <c r="AI8" s="347"/>
      <c r="AJ8" s="347"/>
      <c r="AK8" s="347"/>
      <c r="AL8" s="323"/>
      <c r="AM8" s="323"/>
      <c r="AN8" s="350"/>
    </row>
    <row r="9" spans="1:40" ht="12.75" thickTop="1">
      <c r="A9" s="41"/>
      <c r="B9" s="5"/>
      <c r="C9" s="5"/>
      <c r="D9" s="5"/>
      <c r="E9" s="5"/>
      <c r="F9" s="5"/>
      <c r="G9" s="5"/>
      <c r="H9" s="5"/>
      <c r="I9" s="5"/>
      <c r="J9" s="5"/>
      <c r="K9" s="44"/>
      <c r="L9" s="227"/>
      <c r="M9" s="41"/>
      <c r="N9" s="5"/>
      <c r="O9" s="5"/>
      <c r="P9" s="5"/>
      <c r="Q9" s="5"/>
      <c r="R9" s="5"/>
      <c r="S9" s="5"/>
      <c r="T9" s="5"/>
      <c r="U9" s="92"/>
      <c r="V9" s="41"/>
      <c r="W9" s="5"/>
      <c r="X9" s="5"/>
      <c r="Y9" s="5"/>
      <c r="Z9" s="5"/>
      <c r="AA9" s="44"/>
      <c r="AB9" s="44"/>
      <c r="AC9" s="44"/>
      <c r="AD9" s="44"/>
      <c r="AE9" s="227"/>
      <c r="AF9" s="41"/>
      <c r="AG9" s="5"/>
      <c r="AH9" s="5"/>
      <c r="AI9" s="5"/>
      <c r="AJ9" s="5"/>
      <c r="AK9" s="5"/>
      <c r="AL9" s="5"/>
      <c r="AM9" s="5"/>
      <c r="AN9" s="41"/>
    </row>
    <row r="10" spans="1:40" ht="12">
      <c r="A10" s="41" t="s">
        <v>25</v>
      </c>
      <c r="B10" s="5">
        <v>21</v>
      </c>
      <c r="C10" s="5">
        <v>24</v>
      </c>
      <c r="D10" s="5">
        <f aca="true" t="shared" si="0" ref="D10:D21">B10*C10</f>
        <v>504</v>
      </c>
      <c r="E10" s="5">
        <v>253</v>
      </c>
      <c r="F10" s="5">
        <v>102</v>
      </c>
      <c r="G10" s="5">
        <v>47</v>
      </c>
      <c r="H10" s="5">
        <v>104</v>
      </c>
      <c r="I10" s="5"/>
      <c r="J10" s="5">
        <v>0</v>
      </c>
      <c r="K10" s="44"/>
      <c r="L10" s="227">
        <f aca="true" t="shared" si="1" ref="L10:L15">E10/D10</f>
        <v>0.501984126984127</v>
      </c>
      <c r="M10" s="41" t="s">
        <v>25</v>
      </c>
      <c r="N10" s="5">
        <v>21</v>
      </c>
      <c r="O10" s="5">
        <v>20</v>
      </c>
      <c r="P10" s="5">
        <f aca="true" t="shared" si="2" ref="P10:P21">N10*O10</f>
        <v>420</v>
      </c>
      <c r="Q10" s="5">
        <v>335</v>
      </c>
      <c r="R10" s="5">
        <v>182</v>
      </c>
      <c r="S10" s="5">
        <v>153</v>
      </c>
      <c r="T10" s="5"/>
      <c r="U10" s="92">
        <f aca="true" t="shared" si="3" ref="U10:U15">Q10/P10</f>
        <v>0.7976190476190477</v>
      </c>
      <c r="V10" s="41" t="s">
        <v>25</v>
      </c>
      <c r="W10" s="5">
        <v>21</v>
      </c>
      <c r="X10" s="5">
        <v>45</v>
      </c>
      <c r="Y10" s="5">
        <f aca="true" t="shared" si="4" ref="Y10:Y21">N10*X10</f>
        <v>945</v>
      </c>
      <c r="Z10" s="5">
        <v>804</v>
      </c>
      <c r="AA10" s="44">
        <v>212</v>
      </c>
      <c r="AB10" s="44">
        <v>324</v>
      </c>
      <c r="AC10" s="44">
        <v>268</v>
      </c>
      <c r="AD10" s="44"/>
      <c r="AE10" s="227">
        <f aca="true" t="shared" si="5" ref="AE10:AE15">Z10/Y10</f>
        <v>0.8507936507936508</v>
      </c>
      <c r="AF10" s="41" t="s">
        <v>25</v>
      </c>
      <c r="AG10" s="5">
        <v>21</v>
      </c>
      <c r="AH10" s="286"/>
      <c r="AI10" s="5">
        <v>29</v>
      </c>
      <c r="AJ10" s="5">
        <f>AG10*AI10</f>
        <v>609</v>
      </c>
      <c r="AK10" s="5">
        <v>357</v>
      </c>
      <c r="AL10" s="5">
        <v>42</v>
      </c>
      <c r="AM10" s="5">
        <v>617</v>
      </c>
      <c r="AN10" s="235">
        <f>AM10/(AG10*AL10)</f>
        <v>0.699546485260771</v>
      </c>
    </row>
    <row r="11" spans="1:40" ht="12">
      <c r="A11" s="41" t="s">
        <v>26</v>
      </c>
      <c r="B11" s="5">
        <v>20</v>
      </c>
      <c r="C11" s="5">
        <v>24</v>
      </c>
      <c r="D11" s="5">
        <f t="shared" si="0"/>
        <v>480</v>
      </c>
      <c r="E11" s="5">
        <v>330</v>
      </c>
      <c r="F11" s="5">
        <v>97</v>
      </c>
      <c r="G11" s="5">
        <v>63</v>
      </c>
      <c r="H11" s="5">
        <v>170</v>
      </c>
      <c r="I11" s="5"/>
      <c r="J11" s="5"/>
      <c r="K11" s="44"/>
      <c r="L11" s="227">
        <f t="shared" si="1"/>
        <v>0.6875</v>
      </c>
      <c r="M11" s="41" t="s">
        <v>26</v>
      </c>
      <c r="N11" s="5">
        <v>20</v>
      </c>
      <c r="O11" s="5">
        <v>19</v>
      </c>
      <c r="P11" s="5">
        <f t="shared" si="2"/>
        <v>380</v>
      </c>
      <c r="Q11" s="5">
        <v>301</v>
      </c>
      <c r="R11" s="5">
        <v>162</v>
      </c>
      <c r="S11" s="5">
        <v>309</v>
      </c>
      <c r="T11" s="5"/>
      <c r="U11" s="92">
        <f t="shared" si="3"/>
        <v>0.7921052631578948</v>
      </c>
      <c r="V11" s="41" t="s">
        <v>26</v>
      </c>
      <c r="W11" s="5">
        <v>20</v>
      </c>
      <c r="X11" s="5">
        <v>45</v>
      </c>
      <c r="Y11" s="5">
        <f t="shared" si="4"/>
        <v>900</v>
      </c>
      <c r="Z11" s="5">
        <v>732</v>
      </c>
      <c r="AA11" s="44">
        <v>192</v>
      </c>
      <c r="AB11" s="44">
        <v>307</v>
      </c>
      <c r="AC11" s="44">
        <v>233</v>
      </c>
      <c r="AD11" s="44"/>
      <c r="AE11" s="227">
        <f t="shared" si="5"/>
        <v>0.8133333333333334</v>
      </c>
      <c r="AF11" s="41" t="s">
        <v>26</v>
      </c>
      <c r="AG11" s="5">
        <v>20</v>
      </c>
      <c r="AH11" s="5"/>
      <c r="AI11" s="5">
        <v>30</v>
      </c>
      <c r="AJ11" s="5">
        <f aca="true" t="shared" si="6" ref="AJ11:AJ21">AG11*AI11</f>
        <v>600</v>
      </c>
      <c r="AK11" s="5">
        <v>340</v>
      </c>
      <c r="AL11" s="5">
        <v>35</v>
      </c>
      <c r="AM11" s="5">
        <v>527</v>
      </c>
      <c r="AN11" s="235">
        <f aca="true" t="shared" si="7" ref="AN11:AN21">AM11/(AG11*AL11)</f>
        <v>0.7528571428571429</v>
      </c>
    </row>
    <row r="12" spans="1:40" ht="12">
      <c r="A12" s="41" t="s">
        <v>27</v>
      </c>
      <c r="B12" s="5">
        <v>21</v>
      </c>
      <c r="C12" s="5">
        <v>25</v>
      </c>
      <c r="D12" s="5">
        <f t="shared" si="0"/>
        <v>525</v>
      </c>
      <c r="E12" s="5">
        <v>444</v>
      </c>
      <c r="F12" s="5">
        <v>126</v>
      </c>
      <c r="G12" s="5">
        <v>82</v>
      </c>
      <c r="H12" s="5">
        <v>236</v>
      </c>
      <c r="I12" s="5"/>
      <c r="J12" s="5"/>
      <c r="K12" s="44"/>
      <c r="L12" s="227">
        <f t="shared" si="1"/>
        <v>0.8457142857142858</v>
      </c>
      <c r="M12" s="41" t="s">
        <v>27</v>
      </c>
      <c r="N12" s="5">
        <v>21</v>
      </c>
      <c r="O12" s="5">
        <v>22</v>
      </c>
      <c r="P12" s="5">
        <f t="shared" si="2"/>
        <v>462</v>
      </c>
      <c r="Q12" s="5">
        <v>329</v>
      </c>
      <c r="R12" s="5">
        <v>189</v>
      </c>
      <c r="S12" s="5">
        <v>140</v>
      </c>
      <c r="T12" s="5"/>
      <c r="U12" s="92">
        <f t="shared" si="3"/>
        <v>0.7121212121212122</v>
      </c>
      <c r="V12" s="41" t="s">
        <v>27</v>
      </c>
      <c r="W12" s="5">
        <v>21</v>
      </c>
      <c r="X12" s="5">
        <v>45</v>
      </c>
      <c r="Y12" s="5">
        <f t="shared" si="4"/>
        <v>945</v>
      </c>
      <c r="Z12" s="5">
        <v>784</v>
      </c>
      <c r="AA12" s="44">
        <v>215</v>
      </c>
      <c r="AB12" s="44">
        <v>320</v>
      </c>
      <c r="AC12" s="44">
        <v>269</v>
      </c>
      <c r="AD12" s="44"/>
      <c r="AE12" s="227">
        <f t="shared" si="5"/>
        <v>0.8296296296296296</v>
      </c>
      <c r="AF12" s="41" t="s">
        <v>27</v>
      </c>
      <c r="AG12" s="5">
        <v>21</v>
      </c>
      <c r="AH12" s="286"/>
      <c r="AI12" s="5">
        <v>28</v>
      </c>
      <c r="AJ12" s="5">
        <f t="shared" si="6"/>
        <v>588</v>
      </c>
      <c r="AK12" s="5">
        <v>282</v>
      </c>
      <c r="AL12" s="5">
        <v>37</v>
      </c>
      <c r="AM12" s="5">
        <v>576</v>
      </c>
      <c r="AN12" s="235">
        <f t="shared" si="7"/>
        <v>0.7413127413127413</v>
      </c>
    </row>
    <row r="13" spans="1:40" ht="12">
      <c r="A13" s="41" t="s">
        <v>28</v>
      </c>
      <c r="B13" s="5">
        <v>16</v>
      </c>
      <c r="C13" s="5">
        <v>25</v>
      </c>
      <c r="D13" s="5">
        <f t="shared" si="0"/>
        <v>400</v>
      </c>
      <c r="E13" s="5">
        <v>309</v>
      </c>
      <c r="F13" s="5">
        <v>103</v>
      </c>
      <c r="G13" s="5">
        <v>48</v>
      </c>
      <c r="H13" s="5">
        <v>158</v>
      </c>
      <c r="I13" s="5"/>
      <c r="J13" s="5"/>
      <c r="K13" s="44"/>
      <c r="L13" s="227">
        <f t="shared" si="1"/>
        <v>0.7725</v>
      </c>
      <c r="M13" s="41" t="s">
        <v>28</v>
      </c>
      <c r="N13" s="5">
        <v>16</v>
      </c>
      <c r="O13" s="5">
        <v>24</v>
      </c>
      <c r="P13" s="5">
        <f t="shared" si="2"/>
        <v>384</v>
      </c>
      <c r="Q13" s="5">
        <v>289</v>
      </c>
      <c r="R13" s="5">
        <v>170</v>
      </c>
      <c r="S13" s="5">
        <v>119</v>
      </c>
      <c r="T13" s="5"/>
      <c r="U13" s="92">
        <f t="shared" si="3"/>
        <v>0.7526041666666666</v>
      </c>
      <c r="V13" s="41" t="s">
        <v>28</v>
      </c>
      <c r="W13" s="5">
        <v>16</v>
      </c>
      <c r="X13" s="5">
        <v>45</v>
      </c>
      <c r="Y13" s="5">
        <f t="shared" si="4"/>
        <v>720</v>
      </c>
      <c r="Z13" s="5">
        <v>663</v>
      </c>
      <c r="AA13" s="44">
        <v>165</v>
      </c>
      <c r="AB13" s="44">
        <v>270</v>
      </c>
      <c r="AC13" s="44">
        <v>228</v>
      </c>
      <c r="AD13" s="44"/>
      <c r="AE13" s="227">
        <f t="shared" si="5"/>
        <v>0.9208333333333333</v>
      </c>
      <c r="AF13" s="41" t="s">
        <v>28</v>
      </c>
      <c r="AG13" s="5">
        <v>17</v>
      </c>
      <c r="AH13" s="286"/>
      <c r="AI13" s="5">
        <v>28</v>
      </c>
      <c r="AJ13" s="5">
        <f t="shared" si="6"/>
        <v>476</v>
      </c>
      <c r="AK13" s="5">
        <v>227</v>
      </c>
      <c r="AL13" s="5">
        <v>37</v>
      </c>
      <c r="AM13" s="5">
        <v>447</v>
      </c>
      <c r="AN13" s="235">
        <f t="shared" si="7"/>
        <v>0.7106518282988871</v>
      </c>
    </row>
    <row r="14" spans="1:40" ht="12">
      <c r="A14" s="41" t="s">
        <v>29</v>
      </c>
      <c r="B14" s="5">
        <v>21</v>
      </c>
      <c r="C14" s="5">
        <v>25</v>
      </c>
      <c r="D14" s="5">
        <f t="shared" si="0"/>
        <v>525</v>
      </c>
      <c r="E14" s="5">
        <v>438</v>
      </c>
      <c r="F14" s="5">
        <v>155</v>
      </c>
      <c r="G14" s="5">
        <v>70</v>
      </c>
      <c r="H14" s="5">
        <v>213</v>
      </c>
      <c r="I14" s="5"/>
      <c r="J14" s="5"/>
      <c r="K14" s="44"/>
      <c r="L14" s="227">
        <f t="shared" si="1"/>
        <v>0.8342857142857143</v>
      </c>
      <c r="M14" s="41" t="s">
        <v>29</v>
      </c>
      <c r="N14" s="5">
        <v>21</v>
      </c>
      <c r="O14" s="5">
        <v>24</v>
      </c>
      <c r="P14" s="5">
        <f t="shared" si="2"/>
        <v>504</v>
      </c>
      <c r="Q14" s="5">
        <v>323</v>
      </c>
      <c r="R14" s="5">
        <v>188</v>
      </c>
      <c r="S14" s="5">
        <v>135</v>
      </c>
      <c r="T14" s="5"/>
      <c r="U14" s="92">
        <f t="shared" si="3"/>
        <v>0.6408730158730159</v>
      </c>
      <c r="V14" s="41" t="s">
        <v>29</v>
      </c>
      <c r="W14" s="5">
        <v>21</v>
      </c>
      <c r="X14" s="5">
        <v>46</v>
      </c>
      <c r="Y14" s="5">
        <f t="shared" si="4"/>
        <v>966</v>
      </c>
      <c r="Z14" s="5">
        <v>805</v>
      </c>
      <c r="AA14" s="44">
        <v>210</v>
      </c>
      <c r="AB14" s="44">
        <v>332</v>
      </c>
      <c r="AC14" s="44">
        <v>263</v>
      </c>
      <c r="AD14" s="44"/>
      <c r="AE14" s="227">
        <f t="shared" si="5"/>
        <v>0.8333333333333334</v>
      </c>
      <c r="AF14" s="41" t="s">
        <v>29</v>
      </c>
      <c r="AG14" s="5">
        <v>21</v>
      </c>
      <c r="AH14" s="286"/>
      <c r="AI14" s="5">
        <v>28</v>
      </c>
      <c r="AJ14" s="5">
        <f t="shared" si="6"/>
        <v>588</v>
      </c>
      <c r="AK14" s="5">
        <v>254</v>
      </c>
      <c r="AL14" s="5">
        <v>36</v>
      </c>
      <c r="AM14" s="5">
        <v>586</v>
      </c>
      <c r="AN14" s="235">
        <f t="shared" si="7"/>
        <v>0.7751322751322751</v>
      </c>
    </row>
    <row r="15" spans="1:40" ht="12">
      <c r="A15" s="41" t="s">
        <v>30</v>
      </c>
      <c r="B15" s="5">
        <v>21</v>
      </c>
      <c r="C15" s="5">
        <v>25</v>
      </c>
      <c r="D15" s="5">
        <f t="shared" si="0"/>
        <v>525</v>
      </c>
      <c r="E15" s="5">
        <v>445</v>
      </c>
      <c r="F15" s="5">
        <v>166</v>
      </c>
      <c r="G15" s="5">
        <v>76</v>
      </c>
      <c r="H15" s="5">
        <v>203</v>
      </c>
      <c r="I15" s="5"/>
      <c r="J15" s="5"/>
      <c r="K15" s="44"/>
      <c r="L15" s="227">
        <f t="shared" si="1"/>
        <v>0.8476190476190476</v>
      </c>
      <c r="M15" s="41" t="s">
        <v>30</v>
      </c>
      <c r="N15" s="290">
        <v>9</v>
      </c>
      <c r="O15" s="290">
        <v>18</v>
      </c>
      <c r="P15" s="290">
        <f t="shared" si="2"/>
        <v>162</v>
      </c>
      <c r="Q15" s="290">
        <v>263</v>
      </c>
      <c r="R15" s="290">
        <v>156</v>
      </c>
      <c r="S15" s="290">
        <v>17</v>
      </c>
      <c r="T15" s="5"/>
      <c r="U15" s="92">
        <f t="shared" si="3"/>
        <v>1.623456790123457</v>
      </c>
      <c r="V15" s="41" t="s">
        <v>30</v>
      </c>
      <c r="W15" s="5">
        <v>6</v>
      </c>
      <c r="X15" s="5">
        <v>45</v>
      </c>
      <c r="Y15" s="5">
        <f t="shared" si="4"/>
        <v>405</v>
      </c>
      <c r="Z15" s="5">
        <v>312</v>
      </c>
      <c r="AA15" s="44">
        <v>82</v>
      </c>
      <c r="AB15" s="44">
        <v>118</v>
      </c>
      <c r="AC15" s="44">
        <v>112</v>
      </c>
      <c r="AD15" s="44"/>
      <c r="AE15" s="227">
        <f t="shared" si="5"/>
        <v>0.7703703703703704</v>
      </c>
      <c r="AF15" s="41" t="s">
        <v>30</v>
      </c>
      <c r="AG15" s="5">
        <v>21</v>
      </c>
      <c r="AH15" s="5"/>
      <c r="AI15" s="5">
        <v>26</v>
      </c>
      <c r="AJ15" s="5">
        <f t="shared" si="6"/>
        <v>546</v>
      </c>
      <c r="AK15" s="5">
        <v>192</v>
      </c>
      <c r="AL15" s="5">
        <v>37</v>
      </c>
      <c r="AM15" s="5">
        <v>609</v>
      </c>
      <c r="AN15" s="235">
        <f t="shared" si="7"/>
        <v>0.7837837837837838</v>
      </c>
    </row>
    <row r="16" spans="1:40" ht="12">
      <c r="A16" s="41" t="s">
        <v>31</v>
      </c>
      <c r="B16" s="5"/>
      <c r="C16" s="5"/>
      <c r="D16" s="5">
        <f t="shared" si="0"/>
        <v>0</v>
      </c>
      <c r="E16" s="5"/>
      <c r="F16" s="5"/>
      <c r="G16" s="5"/>
      <c r="H16" s="5"/>
      <c r="I16" s="5"/>
      <c r="J16" s="5"/>
      <c r="K16" s="44"/>
      <c r="L16" s="227"/>
      <c r="M16" s="41" t="s">
        <v>31</v>
      </c>
      <c r="N16" s="5"/>
      <c r="O16" s="5"/>
      <c r="P16" s="5">
        <f t="shared" si="2"/>
        <v>0</v>
      </c>
      <c r="Q16" s="5"/>
      <c r="R16" s="5"/>
      <c r="S16" s="5"/>
      <c r="T16" s="5"/>
      <c r="U16" s="92"/>
      <c r="V16" s="41" t="s">
        <v>31</v>
      </c>
      <c r="W16" s="5"/>
      <c r="X16" s="5"/>
      <c r="Y16" s="5">
        <f t="shared" si="4"/>
        <v>0</v>
      </c>
      <c r="Z16" s="5"/>
      <c r="AA16" s="44"/>
      <c r="AB16" s="44"/>
      <c r="AC16" s="44"/>
      <c r="AD16" s="44"/>
      <c r="AE16" s="227"/>
      <c r="AF16" s="41" t="s">
        <v>31</v>
      </c>
      <c r="AG16" s="5">
        <v>22</v>
      </c>
      <c r="AH16" s="286"/>
      <c r="AI16" s="5">
        <v>8</v>
      </c>
      <c r="AJ16" s="5">
        <f t="shared" si="6"/>
        <v>176</v>
      </c>
      <c r="AK16" s="5">
        <v>55</v>
      </c>
      <c r="AL16" s="5">
        <v>34</v>
      </c>
      <c r="AM16" s="5">
        <v>573</v>
      </c>
      <c r="AN16" s="235">
        <f t="shared" si="7"/>
        <v>0.766042780748663</v>
      </c>
    </row>
    <row r="17" spans="1:40" ht="12">
      <c r="A17" s="41" t="s">
        <v>32</v>
      </c>
      <c r="B17" s="5"/>
      <c r="C17" s="5"/>
      <c r="D17" s="5">
        <f t="shared" si="0"/>
        <v>0</v>
      </c>
      <c r="E17" s="5"/>
      <c r="F17" s="5"/>
      <c r="G17" s="5"/>
      <c r="H17" s="5"/>
      <c r="I17" s="5"/>
      <c r="J17" s="5"/>
      <c r="K17" s="44"/>
      <c r="L17" s="227"/>
      <c r="M17" s="41" t="s">
        <v>32</v>
      </c>
      <c r="N17" s="290"/>
      <c r="O17" s="290"/>
      <c r="P17" s="290">
        <f t="shared" si="2"/>
        <v>0</v>
      </c>
      <c r="Q17" s="290"/>
      <c r="R17" s="290"/>
      <c r="S17" s="290"/>
      <c r="T17" s="5"/>
      <c r="U17" s="92"/>
      <c r="V17" s="41" t="s">
        <v>32</v>
      </c>
      <c r="W17" s="5"/>
      <c r="X17" s="5"/>
      <c r="Y17" s="5">
        <f t="shared" si="4"/>
        <v>0</v>
      </c>
      <c r="Z17" s="5"/>
      <c r="AA17" s="44"/>
      <c r="AB17" s="44"/>
      <c r="AC17" s="44"/>
      <c r="AD17" s="44"/>
      <c r="AE17" s="227"/>
      <c r="AF17" s="41" t="s">
        <v>32</v>
      </c>
      <c r="AG17" s="5">
        <v>13</v>
      </c>
      <c r="AH17" s="286"/>
      <c r="AI17" s="5">
        <v>8</v>
      </c>
      <c r="AJ17" s="5">
        <f t="shared" si="6"/>
        <v>104</v>
      </c>
      <c r="AK17" s="5">
        <v>47</v>
      </c>
      <c r="AL17" s="5">
        <v>32</v>
      </c>
      <c r="AM17" s="5">
        <v>344</v>
      </c>
      <c r="AN17" s="235">
        <f t="shared" si="7"/>
        <v>0.8269230769230769</v>
      </c>
    </row>
    <row r="18" spans="1:40" ht="12">
      <c r="A18" s="41" t="s">
        <v>33</v>
      </c>
      <c r="B18" s="5">
        <v>20</v>
      </c>
      <c r="C18" s="5">
        <v>23</v>
      </c>
      <c r="D18" s="5">
        <f t="shared" si="0"/>
        <v>460</v>
      </c>
      <c r="E18" s="5">
        <v>385</v>
      </c>
      <c r="F18" s="5">
        <v>161</v>
      </c>
      <c r="G18" s="5">
        <v>78</v>
      </c>
      <c r="H18" s="5">
        <v>146</v>
      </c>
      <c r="I18" s="5"/>
      <c r="J18" s="5"/>
      <c r="K18" s="44"/>
      <c r="L18" s="227">
        <f>E18/D18</f>
        <v>0.8369565217391305</v>
      </c>
      <c r="M18" s="41" t="s">
        <v>33</v>
      </c>
      <c r="N18" s="5">
        <v>20</v>
      </c>
      <c r="O18" s="5">
        <v>24</v>
      </c>
      <c r="P18" s="5">
        <f t="shared" si="2"/>
        <v>480</v>
      </c>
      <c r="Q18" s="5">
        <v>459</v>
      </c>
      <c r="R18" s="5">
        <v>244</v>
      </c>
      <c r="S18" s="5">
        <v>215</v>
      </c>
      <c r="T18" s="5"/>
      <c r="U18" s="92">
        <f>Q18/P18</f>
        <v>0.95625</v>
      </c>
      <c r="V18" s="41" t="s">
        <v>33</v>
      </c>
      <c r="W18" s="5">
        <v>20</v>
      </c>
      <c r="X18" s="5">
        <v>51</v>
      </c>
      <c r="Y18" s="5">
        <f t="shared" si="4"/>
        <v>1020</v>
      </c>
      <c r="Z18" s="5">
        <v>967</v>
      </c>
      <c r="AA18" s="44">
        <v>314</v>
      </c>
      <c r="AB18" s="44">
        <v>653</v>
      </c>
      <c r="AC18" s="44">
        <v>0</v>
      </c>
      <c r="AD18" s="44"/>
      <c r="AE18" s="227">
        <f>Z18/Y18</f>
        <v>0.9480392156862745</v>
      </c>
      <c r="AF18" s="41" t="s">
        <v>33</v>
      </c>
      <c r="AG18" s="5">
        <v>20</v>
      </c>
      <c r="AH18" s="286"/>
      <c r="AI18" s="5">
        <v>24</v>
      </c>
      <c r="AJ18" s="5">
        <f t="shared" si="6"/>
        <v>480</v>
      </c>
      <c r="AK18" s="5">
        <v>217</v>
      </c>
      <c r="AL18" s="5">
        <v>32</v>
      </c>
      <c r="AM18" s="5">
        <v>500</v>
      </c>
      <c r="AN18" s="235">
        <f t="shared" si="7"/>
        <v>0.78125</v>
      </c>
    </row>
    <row r="19" spans="1:40" ht="12">
      <c r="A19" s="41" t="s">
        <v>34</v>
      </c>
      <c r="B19" s="5">
        <v>20</v>
      </c>
      <c r="C19" s="5">
        <v>23</v>
      </c>
      <c r="D19" s="5">
        <f t="shared" si="0"/>
        <v>460</v>
      </c>
      <c r="E19" s="5">
        <v>372</v>
      </c>
      <c r="F19" s="5">
        <v>148</v>
      </c>
      <c r="G19" s="5">
        <v>77</v>
      </c>
      <c r="H19" s="5">
        <v>147</v>
      </c>
      <c r="I19" s="5"/>
      <c r="J19" s="5"/>
      <c r="K19" s="44"/>
      <c r="L19" s="227">
        <f>E19/D19</f>
        <v>0.808695652173913</v>
      </c>
      <c r="M19" s="41" t="s">
        <v>34</v>
      </c>
      <c r="N19" s="5">
        <v>18</v>
      </c>
      <c r="O19" s="5">
        <v>27</v>
      </c>
      <c r="P19" s="5">
        <f t="shared" si="2"/>
        <v>486</v>
      </c>
      <c r="Q19" s="5">
        <v>386</v>
      </c>
      <c r="R19" s="5">
        <v>199</v>
      </c>
      <c r="S19" s="5">
        <v>187</v>
      </c>
      <c r="T19" s="5"/>
      <c r="U19" s="92">
        <f>Q19/P19</f>
        <v>0.7942386831275721</v>
      </c>
      <c r="V19" s="41" t="s">
        <v>34</v>
      </c>
      <c r="W19" s="5">
        <v>18</v>
      </c>
      <c r="X19" s="5">
        <v>52</v>
      </c>
      <c r="Y19" s="5">
        <f t="shared" si="4"/>
        <v>936</v>
      </c>
      <c r="Z19" s="5">
        <v>814</v>
      </c>
      <c r="AA19" s="44">
        <v>266</v>
      </c>
      <c r="AB19" s="44">
        <v>548</v>
      </c>
      <c r="AC19" s="44"/>
      <c r="AD19" s="44"/>
      <c r="AE19" s="227">
        <f>Z19/Y19</f>
        <v>0.8696581196581197</v>
      </c>
      <c r="AF19" s="41" t="s">
        <v>34</v>
      </c>
      <c r="AG19" s="5">
        <v>20</v>
      </c>
      <c r="AH19" s="286"/>
      <c r="AI19" s="5">
        <v>20</v>
      </c>
      <c r="AJ19" s="5">
        <f t="shared" si="6"/>
        <v>400</v>
      </c>
      <c r="AK19" s="5">
        <v>197</v>
      </c>
      <c r="AL19" s="5">
        <v>33</v>
      </c>
      <c r="AM19" s="5">
        <v>536</v>
      </c>
      <c r="AN19" s="235">
        <f t="shared" si="7"/>
        <v>0.8121212121212121</v>
      </c>
    </row>
    <row r="20" spans="1:40" ht="12">
      <c r="A20" s="41" t="s">
        <v>35</v>
      </c>
      <c r="B20" s="5">
        <v>20</v>
      </c>
      <c r="C20" s="5">
        <v>23</v>
      </c>
      <c r="D20" s="5">
        <f t="shared" si="0"/>
        <v>460</v>
      </c>
      <c r="E20" s="5">
        <v>359</v>
      </c>
      <c r="F20" s="5">
        <v>153</v>
      </c>
      <c r="G20" s="5">
        <v>75</v>
      </c>
      <c r="H20" s="5">
        <v>131</v>
      </c>
      <c r="I20" s="5"/>
      <c r="J20" s="5"/>
      <c r="K20" s="44"/>
      <c r="L20" s="227">
        <f>E20/D20</f>
        <v>0.7804347826086957</v>
      </c>
      <c r="M20" s="41" t="s">
        <v>35</v>
      </c>
      <c r="N20" s="5">
        <v>20</v>
      </c>
      <c r="O20" s="5">
        <v>25</v>
      </c>
      <c r="P20" s="5">
        <f t="shared" si="2"/>
        <v>500</v>
      </c>
      <c r="Q20" s="5">
        <v>444</v>
      </c>
      <c r="R20" s="5">
        <v>239</v>
      </c>
      <c r="S20" s="5">
        <v>205</v>
      </c>
      <c r="T20" s="5"/>
      <c r="U20" s="92">
        <f>Q20/P20</f>
        <v>0.888</v>
      </c>
      <c r="V20" s="41" t="s">
        <v>35</v>
      </c>
      <c r="W20" s="5">
        <v>20</v>
      </c>
      <c r="X20" s="5">
        <v>52</v>
      </c>
      <c r="Y20" s="5">
        <f t="shared" si="4"/>
        <v>1040</v>
      </c>
      <c r="Z20" s="5">
        <v>883</v>
      </c>
      <c r="AA20" s="44">
        <v>300</v>
      </c>
      <c r="AB20" s="44">
        <v>583</v>
      </c>
      <c r="AC20" s="44"/>
      <c r="AD20" s="44"/>
      <c r="AE20" s="227">
        <f>Z20/Y20</f>
        <v>0.8490384615384615</v>
      </c>
      <c r="AF20" s="41" t="s">
        <v>35</v>
      </c>
      <c r="AG20" s="5">
        <v>20</v>
      </c>
      <c r="AH20" s="286"/>
      <c r="AI20" s="5">
        <v>21</v>
      </c>
      <c r="AJ20" s="5">
        <f t="shared" si="6"/>
        <v>420</v>
      </c>
      <c r="AK20" s="5">
        <v>205</v>
      </c>
      <c r="AL20" s="5">
        <v>36</v>
      </c>
      <c r="AM20" s="5">
        <v>547</v>
      </c>
      <c r="AN20" s="235">
        <f t="shared" si="7"/>
        <v>0.7597222222222222</v>
      </c>
    </row>
    <row r="21" spans="1:40" ht="12">
      <c r="A21" s="41" t="s">
        <v>36</v>
      </c>
      <c r="B21" s="5">
        <v>15</v>
      </c>
      <c r="C21" s="5">
        <v>23</v>
      </c>
      <c r="D21" s="5">
        <f t="shared" si="0"/>
        <v>345</v>
      </c>
      <c r="E21" s="5">
        <v>312</v>
      </c>
      <c r="F21" s="5">
        <v>127</v>
      </c>
      <c r="G21" s="5">
        <v>70</v>
      </c>
      <c r="H21" s="5">
        <v>115</v>
      </c>
      <c r="I21" s="5"/>
      <c r="J21" s="5"/>
      <c r="K21" s="44"/>
      <c r="L21" s="227">
        <f>E21/D21</f>
        <v>0.9043478260869565</v>
      </c>
      <c r="M21" s="41" t="s">
        <v>36</v>
      </c>
      <c r="N21" s="5">
        <v>15</v>
      </c>
      <c r="O21" s="5">
        <v>26</v>
      </c>
      <c r="P21" s="5">
        <f t="shared" si="2"/>
        <v>390</v>
      </c>
      <c r="Q21" s="5">
        <v>308</v>
      </c>
      <c r="R21" s="5">
        <v>185</v>
      </c>
      <c r="S21" s="5">
        <v>123</v>
      </c>
      <c r="T21" s="5"/>
      <c r="U21" s="92">
        <f>Q21/P21</f>
        <v>0.7897435897435897</v>
      </c>
      <c r="V21" s="41" t="s">
        <v>36</v>
      </c>
      <c r="W21" s="5">
        <v>15</v>
      </c>
      <c r="X21" s="5">
        <v>49</v>
      </c>
      <c r="Y21" s="5">
        <f t="shared" si="4"/>
        <v>735</v>
      </c>
      <c r="Z21" s="5">
        <v>644</v>
      </c>
      <c r="AA21" s="44">
        <v>220</v>
      </c>
      <c r="AB21" s="44">
        <v>424</v>
      </c>
      <c r="AC21" s="44"/>
      <c r="AD21" s="44"/>
      <c r="AE21" s="227">
        <f>Z21/Y21</f>
        <v>0.8761904761904762</v>
      </c>
      <c r="AF21" s="41" t="s">
        <v>36</v>
      </c>
      <c r="AG21" s="5">
        <v>15</v>
      </c>
      <c r="AH21" s="286"/>
      <c r="AI21" s="5">
        <v>17</v>
      </c>
      <c r="AJ21" s="5">
        <f t="shared" si="6"/>
        <v>255</v>
      </c>
      <c r="AK21" s="5">
        <v>171</v>
      </c>
      <c r="AL21" s="5">
        <v>34</v>
      </c>
      <c r="AM21" s="5">
        <v>431</v>
      </c>
      <c r="AN21" s="235">
        <f t="shared" si="7"/>
        <v>0.8450980392156863</v>
      </c>
    </row>
    <row r="22" spans="1:40" ht="12">
      <c r="A22" s="41"/>
      <c r="B22" s="5"/>
      <c r="C22" s="5"/>
      <c r="D22" s="5"/>
      <c r="E22" s="5"/>
      <c r="F22" s="5"/>
      <c r="G22" s="5"/>
      <c r="H22" s="5"/>
      <c r="I22" s="5"/>
      <c r="J22" s="5"/>
      <c r="K22" s="44"/>
      <c r="L22" s="227"/>
      <c r="M22" s="41"/>
      <c r="N22" s="5"/>
      <c r="O22" s="5"/>
      <c r="P22" s="5"/>
      <c r="Q22" s="5"/>
      <c r="R22" s="5"/>
      <c r="S22" s="5"/>
      <c r="T22" s="5"/>
      <c r="U22" s="92"/>
      <c r="V22" s="41"/>
      <c r="W22" s="5"/>
      <c r="X22" s="5"/>
      <c r="Y22" s="5"/>
      <c r="Z22" s="5"/>
      <c r="AA22" s="44"/>
      <c r="AB22" s="44"/>
      <c r="AC22" s="44"/>
      <c r="AD22" s="44"/>
      <c r="AE22" s="227"/>
      <c r="AF22" s="41"/>
      <c r="AG22" s="5"/>
      <c r="AH22" s="5"/>
      <c r="AI22" s="286"/>
      <c r="AJ22" s="286"/>
      <c r="AK22" s="286"/>
      <c r="AL22" s="5"/>
      <c r="AM22" s="5"/>
      <c r="AN22" s="235"/>
    </row>
    <row r="23" spans="1:40" s="61" customFormat="1" ht="12">
      <c r="A23" s="56" t="s">
        <v>37</v>
      </c>
      <c r="B23" s="58">
        <f>SUM(B10:B22)</f>
        <v>195</v>
      </c>
      <c r="C23" s="58"/>
      <c r="D23" s="58">
        <f aca="true" t="shared" si="8" ref="D23:K23">SUM(D10:D22)</f>
        <v>4684</v>
      </c>
      <c r="E23" s="58">
        <f t="shared" si="8"/>
        <v>3647</v>
      </c>
      <c r="F23" s="58">
        <f t="shared" si="8"/>
        <v>1338</v>
      </c>
      <c r="G23" s="58">
        <f t="shared" si="8"/>
        <v>686</v>
      </c>
      <c r="H23" s="58">
        <f t="shared" si="8"/>
        <v>1623</v>
      </c>
      <c r="I23" s="58">
        <f t="shared" si="8"/>
        <v>0</v>
      </c>
      <c r="J23" s="58">
        <f t="shared" si="8"/>
        <v>0</v>
      </c>
      <c r="K23" s="58">
        <f t="shared" si="8"/>
        <v>0</v>
      </c>
      <c r="L23" s="228">
        <f>E23/D23</f>
        <v>0.7786080273270709</v>
      </c>
      <c r="M23" s="56" t="s">
        <v>37</v>
      </c>
      <c r="N23" s="58">
        <f>SUM(N10:N22)</f>
        <v>181</v>
      </c>
      <c r="O23" s="58"/>
      <c r="P23" s="58">
        <f>SUM(P10:P22)</f>
        <v>4168</v>
      </c>
      <c r="Q23" s="58">
        <f>SUM(Q10:Q22)</f>
        <v>3437</v>
      </c>
      <c r="R23" s="58">
        <f>SUM(R10:R22)</f>
        <v>1914</v>
      </c>
      <c r="S23" s="58">
        <f>SUM(S10:S22)</f>
        <v>1603</v>
      </c>
      <c r="T23" s="58">
        <f>SUM(T10:T22)</f>
        <v>0</v>
      </c>
      <c r="U23" s="229">
        <f>Q23/P23</f>
        <v>0.824616122840691</v>
      </c>
      <c r="V23" s="56" t="s">
        <v>37</v>
      </c>
      <c r="W23" s="58">
        <f aca="true" t="shared" si="9" ref="W23:AD23">SUM(W10:W22)</f>
        <v>178</v>
      </c>
      <c r="X23" s="58">
        <f t="shared" si="9"/>
        <v>475</v>
      </c>
      <c r="Y23" s="58">
        <f t="shared" si="9"/>
        <v>8612</v>
      </c>
      <c r="Z23" s="58">
        <f t="shared" si="9"/>
        <v>7408</v>
      </c>
      <c r="AA23" s="58">
        <f t="shared" si="9"/>
        <v>2176</v>
      </c>
      <c r="AB23" s="58">
        <f t="shared" si="9"/>
        <v>3879</v>
      </c>
      <c r="AC23" s="58">
        <f t="shared" si="9"/>
        <v>1373</v>
      </c>
      <c r="AD23" s="58">
        <f t="shared" si="9"/>
        <v>0</v>
      </c>
      <c r="AE23" s="228">
        <f>Z23/Y23</f>
        <v>0.8601950766372504</v>
      </c>
      <c r="AF23" s="56" t="s">
        <v>37</v>
      </c>
      <c r="AG23" s="58">
        <f aca="true" t="shared" si="10" ref="AG23:AM23">SUM(AG10:AG22)</f>
        <v>231</v>
      </c>
      <c r="AH23" s="58">
        <f t="shared" si="10"/>
        <v>0</v>
      </c>
      <c r="AI23" s="58">
        <f t="shared" si="10"/>
        <v>267</v>
      </c>
      <c r="AJ23" s="58">
        <f t="shared" si="10"/>
        <v>5242</v>
      </c>
      <c r="AK23" s="58">
        <f t="shared" si="10"/>
        <v>2544</v>
      </c>
      <c r="AL23" s="58">
        <f t="shared" si="10"/>
        <v>425</v>
      </c>
      <c r="AM23" s="58">
        <f t="shared" si="10"/>
        <v>6293</v>
      </c>
      <c r="AN23" s="235">
        <f>SUM(AN10:AN22)/12</f>
        <v>0.7712034656563719</v>
      </c>
    </row>
    <row r="24" spans="1:40" ht="12">
      <c r="A24" s="41"/>
      <c r="B24" s="5"/>
      <c r="C24" s="5"/>
      <c r="D24" s="5"/>
      <c r="E24" s="5"/>
      <c r="F24" s="5"/>
      <c r="G24" s="5"/>
      <c r="H24" s="5"/>
      <c r="I24" s="5"/>
      <c r="J24" s="5"/>
      <c r="K24" s="44"/>
      <c r="L24" s="227"/>
      <c r="M24" s="41"/>
      <c r="N24" s="5"/>
      <c r="O24" s="5"/>
      <c r="P24" s="5"/>
      <c r="Q24" s="5"/>
      <c r="R24" s="5"/>
      <c r="S24" s="5"/>
      <c r="T24" s="5"/>
      <c r="U24" s="92"/>
      <c r="V24" s="41"/>
      <c r="W24" s="5"/>
      <c r="X24" s="5"/>
      <c r="Y24" s="5"/>
      <c r="Z24" s="5"/>
      <c r="AA24" s="44"/>
      <c r="AB24" s="44"/>
      <c r="AC24" s="44"/>
      <c r="AD24" s="44"/>
      <c r="AE24" s="227"/>
      <c r="AF24" s="41"/>
      <c r="AG24" s="5"/>
      <c r="AH24" s="5"/>
      <c r="AI24" s="5"/>
      <c r="AJ24" s="5"/>
      <c r="AK24" s="5"/>
      <c r="AL24" s="5"/>
      <c r="AM24" s="5"/>
      <c r="AN24" s="41"/>
    </row>
    <row r="25" spans="1:40" s="9" customFormat="1" ht="12">
      <c r="A25" s="2" t="s">
        <v>38</v>
      </c>
      <c r="B25" s="4"/>
      <c r="C25" s="4"/>
      <c r="D25" s="4"/>
      <c r="E25" s="4"/>
      <c r="F25" s="230">
        <f>F23/E23</f>
        <v>0.36687688511105015</v>
      </c>
      <c r="G25" s="230">
        <f>G23/E23</f>
        <v>0.18809980806142035</v>
      </c>
      <c r="H25" s="230">
        <f>H23/E23</f>
        <v>0.4450233068275295</v>
      </c>
      <c r="I25" s="4"/>
      <c r="J25" s="4"/>
      <c r="K25" s="231">
        <f>K23/E23</f>
        <v>0</v>
      </c>
      <c r="L25" s="231"/>
      <c r="M25" s="2" t="s">
        <v>38</v>
      </c>
      <c r="N25" s="4"/>
      <c r="O25" s="4"/>
      <c r="P25" s="4"/>
      <c r="Q25" s="4"/>
      <c r="R25" s="4"/>
      <c r="S25" s="230">
        <f>S23/Q23</f>
        <v>0.4663951120162933</v>
      </c>
      <c r="T25" s="230">
        <f>T23/Q23</f>
        <v>0</v>
      </c>
      <c r="U25" s="230"/>
      <c r="V25" s="2" t="s">
        <v>38</v>
      </c>
      <c r="W25" s="4"/>
      <c r="X25" s="4"/>
      <c r="Y25" s="4"/>
      <c r="Z25" s="4"/>
      <c r="AA25" s="8"/>
      <c r="AB25" s="231">
        <f>AB23/Z23</f>
        <v>0.5236231101511879</v>
      </c>
      <c r="AC25" s="231">
        <f>AC23/Z23</f>
        <v>0.1853401727861771</v>
      </c>
      <c r="AD25" s="8"/>
      <c r="AE25" s="231"/>
      <c r="AF25" s="2" t="s">
        <v>1450</v>
      </c>
      <c r="AG25" s="4"/>
      <c r="AH25" s="4"/>
      <c r="AI25" s="4"/>
      <c r="AJ25" s="4"/>
      <c r="AK25" s="230">
        <f>AK23/AJ23</f>
        <v>0.4853109500190767</v>
      </c>
      <c r="AL25" s="4"/>
      <c r="AM25" s="4"/>
      <c r="AN25" s="2"/>
    </row>
    <row r="26" spans="1:40" s="9" customFormat="1" ht="12">
      <c r="A26" s="2"/>
      <c r="B26" s="4"/>
      <c r="C26" s="4"/>
      <c r="D26" s="4"/>
      <c r="E26" s="4"/>
      <c r="F26" s="4"/>
      <c r="G26" s="230"/>
      <c r="H26" s="230"/>
      <c r="I26" s="4"/>
      <c r="J26" s="4"/>
      <c r="K26" s="231"/>
      <c r="L26" s="231"/>
      <c r="M26" s="2"/>
      <c r="N26" s="4"/>
      <c r="O26" s="4"/>
      <c r="P26" s="4"/>
      <c r="Q26" s="4"/>
      <c r="R26" s="4"/>
      <c r="S26" s="230"/>
      <c r="T26" s="230"/>
      <c r="U26" s="230"/>
      <c r="V26" s="2"/>
      <c r="W26" s="4"/>
      <c r="X26" s="4"/>
      <c r="Y26" s="4"/>
      <c r="Z26" s="4"/>
      <c r="AA26" s="8"/>
      <c r="AB26" s="8"/>
      <c r="AC26" s="8"/>
      <c r="AD26" s="8"/>
      <c r="AE26" s="231"/>
      <c r="AF26" s="2"/>
      <c r="AG26" s="4"/>
      <c r="AH26" s="4"/>
      <c r="AI26" s="4"/>
      <c r="AJ26" s="4"/>
      <c r="AK26" s="4"/>
      <c r="AL26" s="4"/>
      <c r="AM26" s="4"/>
      <c r="AN26" s="2"/>
    </row>
    <row r="27" spans="1:40" s="9" customFormat="1" ht="12">
      <c r="A27" s="2" t="s">
        <v>995</v>
      </c>
      <c r="B27" s="4"/>
      <c r="C27" s="4"/>
      <c r="D27" s="4"/>
      <c r="E27" s="4">
        <f>E23/200</f>
        <v>18.235</v>
      </c>
      <c r="F27" s="4"/>
      <c r="G27" s="230"/>
      <c r="H27" s="230"/>
      <c r="I27" s="4"/>
      <c r="J27" s="4"/>
      <c r="K27" s="231"/>
      <c r="L27" s="231"/>
      <c r="M27" s="2" t="s">
        <v>995</v>
      </c>
      <c r="N27" s="4"/>
      <c r="O27" s="4"/>
      <c r="P27" s="4"/>
      <c r="Q27" s="4">
        <f>Q23/185</f>
        <v>18.57837837837838</v>
      </c>
      <c r="R27" s="4"/>
      <c r="S27" s="230"/>
      <c r="T27" s="230"/>
      <c r="U27" s="230"/>
      <c r="V27" s="2" t="s">
        <v>995</v>
      </c>
      <c r="W27" s="4"/>
      <c r="X27" s="4"/>
      <c r="Y27" s="4"/>
      <c r="Z27" s="4"/>
      <c r="AA27" s="8"/>
      <c r="AB27" s="8"/>
      <c r="AC27" s="8"/>
      <c r="AD27" s="8"/>
      <c r="AE27" s="231"/>
      <c r="AF27" s="2"/>
      <c r="AG27" s="4"/>
      <c r="AH27" s="4"/>
      <c r="AI27" s="4"/>
      <c r="AJ27" s="4"/>
      <c r="AK27" s="4"/>
      <c r="AL27" s="4"/>
      <c r="AM27" s="4"/>
      <c r="AN27" s="2"/>
    </row>
    <row r="28" spans="1:40" ht="12">
      <c r="A28" s="41"/>
      <c r="B28" s="5"/>
      <c r="C28" s="5"/>
      <c r="D28" s="5"/>
      <c r="E28" s="5"/>
      <c r="F28" s="5"/>
      <c r="G28" s="5"/>
      <c r="H28" s="5"/>
      <c r="I28" s="5"/>
      <c r="J28" s="5"/>
      <c r="K28" s="44"/>
      <c r="L28" s="227"/>
      <c r="M28" s="41"/>
      <c r="N28" s="5"/>
      <c r="O28" s="5"/>
      <c r="P28" s="5"/>
      <c r="Q28" s="5"/>
      <c r="R28" s="5"/>
      <c r="S28" s="5"/>
      <c r="T28" s="5"/>
      <c r="U28" s="92"/>
      <c r="V28" s="41"/>
      <c r="W28" s="5"/>
      <c r="X28" s="5"/>
      <c r="Y28" s="5"/>
      <c r="Z28" s="5"/>
      <c r="AA28" s="44"/>
      <c r="AB28" s="44"/>
      <c r="AC28" s="44"/>
      <c r="AD28" s="44"/>
      <c r="AE28" s="227"/>
      <c r="AF28" s="41"/>
      <c r="AG28" s="5"/>
      <c r="AH28" s="5"/>
      <c r="AI28" s="5"/>
      <c r="AJ28" s="5"/>
      <c r="AK28" s="5"/>
      <c r="AL28" s="5"/>
      <c r="AM28" s="5"/>
      <c r="AN28" s="41"/>
    </row>
    <row r="29" spans="1:40" ht="12">
      <c r="A29" s="41" t="s">
        <v>39</v>
      </c>
      <c r="B29" s="5"/>
      <c r="C29" s="5">
        <v>23</v>
      </c>
      <c r="D29" s="5"/>
      <c r="E29" s="5"/>
      <c r="F29" s="5"/>
      <c r="G29" s="5"/>
      <c r="H29" s="5"/>
      <c r="I29" s="5"/>
      <c r="J29" s="5"/>
      <c r="K29" s="44"/>
      <c r="L29" s="227"/>
      <c r="M29" s="41" t="s">
        <v>39</v>
      </c>
      <c r="N29" s="5"/>
      <c r="O29" s="5">
        <v>16</v>
      </c>
      <c r="P29" s="5"/>
      <c r="Q29" s="5"/>
      <c r="R29" s="5"/>
      <c r="S29" s="5"/>
      <c r="T29" s="5"/>
      <c r="U29" s="92"/>
      <c r="V29" s="41" t="s">
        <v>39</v>
      </c>
      <c r="W29" s="5"/>
      <c r="X29" s="5">
        <v>40</v>
      </c>
      <c r="Y29" s="5"/>
      <c r="Z29" s="5"/>
      <c r="AA29" s="44"/>
      <c r="AB29" s="44"/>
      <c r="AC29" s="44"/>
      <c r="AD29" s="44"/>
      <c r="AE29" s="227"/>
      <c r="AF29" s="41"/>
      <c r="AG29" s="5"/>
      <c r="AH29" s="5"/>
      <c r="AI29" s="5">
        <v>8</v>
      </c>
      <c r="AJ29" s="5"/>
      <c r="AK29" s="5">
        <v>22</v>
      </c>
      <c r="AL29" s="5"/>
      <c r="AM29" s="5"/>
      <c r="AN29" s="41"/>
    </row>
    <row r="30" spans="1:40" ht="12">
      <c r="A30" s="41"/>
      <c r="B30" s="5"/>
      <c r="C30" s="5"/>
      <c r="D30" s="5"/>
      <c r="E30" s="5"/>
      <c r="F30" s="5"/>
      <c r="G30" s="5"/>
      <c r="H30" s="5"/>
      <c r="I30" s="5"/>
      <c r="J30" s="5"/>
      <c r="K30" s="44"/>
      <c r="L30" s="227"/>
      <c r="M30" s="41"/>
      <c r="N30" s="5"/>
      <c r="O30" s="5"/>
      <c r="P30" s="5"/>
      <c r="Q30" s="5"/>
      <c r="R30" s="5"/>
      <c r="S30" s="5"/>
      <c r="T30" s="5"/>
      <c r="U30" s="92"/>
      <c r="V30" s="41"/>
      <c r="W30" s="5"/>
      <c r="X30" s="5"/>
      <c r="Y30" s="5"/>
      <c r="Z30" s="5"/>
      <c r="AA30" s="44"/>
      <c r="AB30" s="44"/>
      <c r="AC30" s="44"/>
      <c r="AD30" s="44"/>
      <c r="AE30" s="227"/>
      <c r="AF30" s="41"/>
      <c r="AG30" s="5"/>
      <c r="AH30" s="5"/>
      <c r="AI30" s="5"/>
      <c r="AJ30" s="5"/>
      <c r="AK30" s="5"/>
      <c r="AL30" s="5"/>
      <c r="AM30" s="5"/>
      <c r="AN30" s="41"/>
    </row>
    <row r="31" spans="1:40" ht="12">
      <c r="A31" s="49"/>
      <c r="B31" s="51"/>
      <c r="C31" s="51"/>
      <c r="D31" s="51"/>
      <c r="E31" s="51"/>
      <c r="F31" s="51"/>
      <c r="G31" s="51"/>
      <c r="H31" s="51"/>
      <c r="I31" s="51"/>
      <c r="J31" s="51"/>
      <c r="K31" s="53"/>
      <c r="L31" s="232"/>
      <c r="M31" s="49"/>
      <c r="N31" s="51"/>
      <c r="O31" s="51"/>
      <c r="P31" s="51"/>
      <c r="Q31" s="51"/>
      <c r="R31" s="51"/>
      <c r="S31" s="51"/>
      <c r="T31" s="51"/>
      <c r="U31" s="233"/>
      <c r="V31" s="49"/>
      <c r="W31" s="51"/>
      <c r="X31" s="51"/>
      <c r="Y31" s="51"/>
      <c r="Z31" s="51"/>
      <c r="AA31" s="53"/>
      <c r="AB31" s="53"/>
      <c r="AC31" s="53"/>
      <c r="AD31" s="53"/>
      <c r="AE31" s="232"/>
      <c r="AF31" s="49"/>
      <c r="AG31" s="51"/>
      <c r="AH31" s="51"/>
      <c r="AI31" s="51"/>
      <c r="AJ31" s="51"/>
      <c r="AK31" s="51"/>
      <c r="AL31" s="51"/>
      <c r="AM31" s="51"/>
      <c r="AN31" s="49"/>
    </row>
  </sheetData>
  <mergeCells count="44">
    <mergeCell ref="AN1:AN8"/>
    <mergeCell ref="AB3:AB8"/>
    <mergeCell ref="AD3:AD8"/>
    <mergeCell ref="V1:V8"/>
    <mergeCell ref="W1:W8"/>
    <mergeCell ref="AC3:AC8"/>
    <mergeCell ref="AL1:AL8"/>
    <mergeCell ref="AM1:AM8"/>
    <mergeCell ref="AH1:AH8"/>
    <mergeCell ref="AI1:AI8"/>
    <mergeCell ref="X1:AE2"/>
    <mergeCell ref="AF1:AF8"/>
    <mergeCell ref="AJ1:AJ8"/>
    <mergeCell ref="AK1:AK8"/>
    <mergeCell ref="X3:X8"/>
    <mergeCell ref="Y3:Y8"/>
    <mergeCell ref="Z3:Z8"/>
    <mergeCell ref="AE3:AE8"/>
    <mergeCell ref="AG1:AG8"/>
    <mergeCell ref="AA3:AA8"/>
    <mergeCell ref="M1:M8"/>
    <mergeCell ref="N1:N8"/>
    <mergeCell ref="O3:O8"/>
    <mergeCell ref="P3:P8"/>
    <mergeCell ref="O1:U2"/>
    <mergeCell ref="Q3:Q8"/>
    <mergeCell ref="S3:S8"/>
    <mergeCell ref="R3:R8"/>
    <mergeCell ref="U3:U8"/>
    <mergeCell ref="T3:T8"/>
    <mergeCell ref="E3:E8"/>
    <mergeCell ref="F3:F8"/>
    <mergeCell ref="G3:G8"/>
    <mergeCell ref="H3:H8"/>
    <mergeCell ref="B1:B8"/>
    <mergeCell ref="A1:A8"/>
    <mergeCell ref="C3:C8"/>
    <mergeCell ref="D3:D8"/>
    <mergeCell ref="C1:L2"/>
    <mergeCell ref="I5:I8"/>
    <mergeCell ref="J5:J8"/>
    <mergeCell ref="K5:K8"/>
    <mergeCell ref="I3:K4"/>
    <mergeCell ref="L3:L8"/>
  </mergeCells>
  <printOptions horizontalCentered="1"/>
  <pageMargins left="0.37" right="0.25" top="1.6141732283464567" bottom="0.984251968503937" header="0.5118110236220472" footer="0.5118110236220472"/>
  <pageSetup horizontalDpi="600" verticalDpi="600" orientation="landscape" paperSize="9" r:id="rId1"/>
  <headerFooter alignWithMargins="0">
    <oddHeader>&amp;C
&amp;"Arial,Félkövér dőlt"KIMUTATÁS A 2007 ÉVI ÉTKEZTETÉSIGÉNYBEVÉTELÉRŐL
KIHASZNÁLTSÁGI MUTATÓ SZÁMÍTÁSA&amp;R&amp;"Arial,Dőlt"&amp;8 1.számú melléklet</oddHeader>
    <oddFooter>&amp;C&amp;"Arial,Dőlt"&amp;8&amp;P. oldal</oddFooter>
  </headerFooter>
  <colBreaks count="3" manualBreakCount="3">
    <brk id="12" max="65535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Tiszagyulaháza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</dc:creator>
  <cp:keywords/>
  <dc:description/>
  <cp:lastModifiedBy>fm</cp:lastModifiedBy>
  <cp:lastPrinted>2008-06-19T09:08:45Z</cp:lastPrinted>
  <dcterms:created xsi:type="dcterms:W3CDTF">2005-01-17T10:55:59Z</dcterms:created>
  <dcterms:modified xsi:type="dcterms:W3CDTF">2008-09-09T11:53:31Z</dcterms:modified>
  <cp:category/>
  <cp:version/>
  <cp:contentType/>
  <cp:contentStatus/>
</cp:coreProperties>
</file>