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6570" tabRatio="894" firstSheet="17" activeTab="24"/>
  </bookViews>
  <sheets>
    <sheet name="bev" sheetId="1" r:id="rId1"/>
    <sheet name="hiv" sheetId="2" r:id="rId2"/>
    <sheet name="körj" sheetId="3" r:id="rId3"/>
    <sheet name="isk" sheetId="4" r:id="rId4"/>
    <sheet name="teü" sheetId="5" r:id="rId5"/>
    <sheet name="fsp" sheetId="6" r:id="rId6"/>
    <sheet name="elsz" sheetId="7" r:id="rId7"/>
    <sheet name="iét" sheetId="8" r:id="rId8"/>
    <sheet name="étk" sheetId="9" r:id="rId9"/>
    <sheet name="állt" sheetId="10" r:id="rId10"/>
    <sheet name="fáp" sheetId="11" r:id="rId11"/>
    <sheet name="rszs" sheetId="12" r:id="rId12"/>
    <sheet name="náp" sheetId="13" r:id="rId13"/>
    <sheet name="máp" sheetId="14" r:id="rId14"/>
    <sheet name="lft" sheetId="15" r:id="rId15"/>
    <sheet name="társb" sheetId="16" r:id="rId16"/>
    <sheet name="hil" sheetId="17" r:id="rId17"/>
    <sheet name="kab" sheetId="18" r:id="rId18"/>
    <sheet name="kjb" sheetId="19" r:id="rId19"/>
    <sheet name="átad" sheetId="20" r:id="rId20"/>
    <sheet name="beö" sheetId="21" r:id="rId21"/>
    <sheet name="kiö" sheetId="22" r:id="rId22"/>
    <sheet name="rem1 " sheetId="23" r:id="rId23"/>
    <sheet name="rem2" sheetId="24" r:id="rId24"/>
    <sheet name="rem3" sheetId="25" r:id="rId25"/>
    <sheet name="rem4" sheetId="26" r:id="rId26"/>
    <sheet name="rem5" sheetId="27" r:id="rId27"/>
    <sheet name="rem6" sheetId="28" r:id="rId28"/>
    <sheet name="rem7" sheetId="29" r:id="rId29"/>
    <sheet name="rem8" sheetId="30" r:id="rId30"/>
    <sheet name="rem9" sheetId="31" r:id="rId31"/>
    <sheet name="rem10" sheetId="32" r:id="rId32"/>
    <sheet name="rem11" sheetId="33" r:id="rId33"/>
    <sheet name="közpfor." sheetId="34" r:id="rId34"/>
    <sheet name="Munka2" sheetId="35" r:id="rId35"/>
    <sheet name="Munka1" sheetId="36" r:id="rId36"/>
  </sheets>
  <definedNames>
    <definedName name="_xlnm.Print_Area" localSheetId="9">'állt'!$A:$IV</definedName>
    <definedName name="_xlnm.Print_Area" localSheetId="19">'átad'!$A:$IV</definedName>
    <definedName name="_xlnm.Print_Area" localSheetId="17">'kab'!$A$1:$S$41</definedName>
    <definedName name="_xlnm.Print_Area" localSheetId="29">'rem8'!$A:$IV</definedName>
    <definedName name="_xlnm.Print_Area" localSheetId="15">'társb'!$A$1:$AJ$47</definedName>
  </definedNames>
  <calcPr fullCalcOnLoad="1"/>
</workbook>
</file>

<file path=xl/comments21.xml><?xml version="1.0" encoding="utf-8"?>
<comments xmlns="http://schemas.openxmlformats.org/spreadsheetml/2006/main">
  <authors>
    <author>fgdg</author>
  </authors>
  <commentList>
    <comment ref="V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W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X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Z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AA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<sst xmlns="http://schemas.openxmlformats.org/spreadsheetml/2006/main" count="3087" uniqueCount="1685">
  <si>
    <t>12.Költségvetési cím összesen</t>
  </si>
  <si>
    <t>75199-9</t>
  </si>
  <si>
    <t>Ezen a szakfeladaton kell tervezni és elszámolni az Aht 8/A §-ában foglaltak alapján a költségvetési hiány finanszírozásával és a likviditás biztosításával kapcsolatos pénzügyi műveleteket.</t>
  </si>
  <si>
    <t>Egyéb átengedett központi adok</t>
  </si>
  <si>
    <t>Községek általános támogatása</t>
  </si>
  <si>
    <t>75192-2 Önkormányzatok elszámolásai</t>
  </si>
  <si>
    <t>támogatás összege</t>
  </si>
  <si>
    <t>támogatás változása</t>
  </si>
  <si>
    <t>2004 év</t>
  </si>
  <si>
    <t>2005 év</t>
  </si>
  <si>
    <t>illetmények részletezése 9. számú melléklet</t>
  </si>
  <si>
    <t>Minőség fejlesztés támogatása</t>
  </si>
  <si>
    <t>Számitástechnikai üzemeltetés</t>
  </si>
  <si>
    <t>Óvoda:tervezett létszám:  fő</t>
  </si>
  <si>
    <t>Általános iskola ebéd: tervezett létszám fő</t>
  </si>
  <si>
    <t>Munkahelyi étkezés ( két étkezés )</t>
  </si>
  <si>
    <t>Tervezett létszám fő</t>
  </si>
  <si>
    <t>Munkahelyi étkezők száma napi2 étk. Fő</t>
  </si>
  <si>
    <t xml:space="preserve">          Tervezett kihasználtsági mutató:%</t>
  </si>
  <si>
    <t>dolgozók</t>
  </si>
  <si>
    <t>lakosság</t>
  </si>
  <si>
    <t>Ezen a szakfeladaton kell tervezni és elszámolni az önkormányzati utakkal kapcsolatos üzemeltetési fenntartási kiadásokat és bevételeket</t>
  </si>
  <si>
    <t xml:space="preserve"> Dologi kiadások</t>
  </si>
  <si>
    <t xml:space="preserve"> Kistérségnek fejlesztésre átadott  2007 évi köt</t>
  </si>
  <si>
    <t>85331-1</t>
  </si>
  <si>
    <t>áltlános tartalék</t>
  </si>
  <si>
    <t>Fogl. Szoc. pol. feladatok</t>
  </si>
  <si>
    <t>Kistérségnek fejlesztésre átadott 2007. évi köt.</t>
  </si>
  <si>
    <t>85333-3</t>
  </si>
  <si>
    <t>85334-4  Eseti  szociális ellátások</t>
  </si>
  <si>
    <t>Szociális étkeztetés</t>
  </si>
  <si>
    <t xml:space="preserve">      2007. Decemberben igénybe veszi</t>
  </si>
  <si>
    <t xml:space="preserve">      nyugdij minimum 150%&gt;1 főre jutó jöv</t>
  </si>
  <si>
    <t xml:space="preserve">      jövedelem a nyugdij minimum 150% és 300%</t>
  </si>
  <si>
    <t xml:space="preserve">      jövedelem &gt; nyugdij minimum 300 %</t>
  </si>
  <si>
    <t xml:space="preserve">        állandó népesség 2007 január 1 fő</t>
  </si>
  <si>
    <t>2007.évi adó befiz</t>
  </si>
  <si>
    <t>8.számú melléklet</t>
  </si>
  <si>
    <t>Egyes jövedelem pótló támogatások kiegészítése</t>
  </si>
  <si>
    <t xml:space="preserve">     Rendszeres szoc segély</t>
  </si>
  <si>
    <t>támogatási alap</t>
  </si>
  <si>
    <t xml:space="preserve"> Karbantartási kisjavitási szolgáltatások</t>
  </si>
  <si>
    <t xml:space="preserve">       utkarbantartás járda javitás</t>
  </si>
  <si>
    <t xml:space="preserve">  Vásárolt term.szolg. ÁFA</t>
  </si>
  <si>
    <t>63212-1 Szakfeladat összesen</t>
  </si>
  <si>
    <t xml:space="preserve">  Állományba nem tartozók juttatásai</t>
  </si>
  <si>
    <t xml:space="preserve">           megbizási dijak hómunkások</t>
  </si>
  <si>
    <t xml:space="preserve"> Készletek</t>
  </si>
  <si>
    <t xml:space="preserve">    Hajtó és kenőanyag beszerzés</t>
  </si>
  <si>
    <t xml:space="preserve">    Munka és védőruha beszerzés</t>
  </si>
  <si>
    <t xml:space="preserve">    Egyéb készletek</t>
  </si>
  <si>
    <t xml:space="preserve">              Szerszám beszerzés </t>
  </si>
  <si>
    <t xml:space="preserve">              Karbantartási anyag</t>
  </si>
  <si>
    <t xml:space="preserve">           szemét szállitás szerződés szerint</t>
  </si>
  <si>
    <t xml:space="preserve">     Vásárolt term.szolg. ÁFA</t>
  </si>
  <si>
    <t xml:space="preserve">     Vásárolt term.szolg. ÁFA összesen</t>
  </si>
  <si>
    <t xml:space="preserve">    Egyéb dologi kiadások</t>
  </si>
  <si>
    <t>Felhalmozásra átadott pénzeszközök ÁHT-n belül</t>
  </si>
  <si>
    <t>75184-5 Szakfeladat összesen</t>
  </si>
  <si>
    <t>Ezen a szakfeladaton kell tervezni és elszámolni a temető fenntartásával kapcsolatos kiadásokat és bevételeket.</t>
  </si>
  <si>
    <t xml:space="preserve">    Hajtó és kenő anyag</t>
  </si>
  <si>
    <t xml:space="preserve">    Egyéb készletek tisztitószer </t>
  </si>
  <si>
    <t xml:space="preserve"> Szolgáltatások</t>
  </si>
  <si>
    <t xml:space="preserve">    Villamos energia szolgáltatás</t>
  </si>
  <si>
    <t xml:space="preserve">    Víz és csatornadíjak</t>
  </si>
  <si>
    <t>Megenevezés</t>
  </si>
  <si>
    <t>Feladat állami támogatása</t>
  </si>
  <si>
    <t>Saját bevétel</t>
  </si>
  <si>
    <t>Átvett pénzeszköz</t>
  </si>
  <si>
    <t>Bevétel összesen</t>
  </si>
  <si>
    <t xml:space="preserve">Kiadások </t>
  </si>
  <si>
    <t>Munkaadót terhelő járulék</t>
  </si>
  <si>
    <t>Átadott pénzeszköz</t>
  </si>
  <si>
    <t>F / 10</t>
  </si>
  <si>
    <t>Juhász Margit</t>
  </si>
  <si>
    <t>Ezen a szakfeladaton kell elszámolni az önkormányzat által a felügyelete alá tartozó költségvetési szervek részére kiutalt illetve az intézmény által kapott intézmény finanszírozást. Itt kell továbbá kimutatni a pénzmaradvány elszámolást, valamint az önkormányzaton belüli pénzeszköz  átadást, átvételt. Minden más pénzeszköz átadást a céljának megfelelő szakfeladaton kell elszámolni.</t>
  </si>
  <si>
    <t>Tiszagyulaháza község az igazgatási feladatainak ellátására Folyás községgel körjegyzőséget hozott létre, székhely: Tiszagyulaháza</t>
  </si>
  <si>
    <t>Felügyelet alá tartozó költségvetési szervnek folyósított támogatás</t>
  </si>
  <si>
    <t xml:space="preserve">        Intézmény költségvetése alapján</t>
  </si>
  <si>
    <t>75192-2 szakfeladat összesen</t>
  </si>
  <si>
    <t xml:space="preserve">Működésre átadott ÁHT-n belül </t>
  </si>
  <si>
    <t xml:space="preserve">         HBM-i könyvtárnak állománygyarapításra</t>
  </si>
  <si>
    <t xml:space="preserve"> Közalkalmazottak alapilletménye</t>
  </si>
  <si>
    <t xml:space="preserve">  Egyéb költség térítés</t>
  </si>
  <si>
    <t xml:space="preserve">               Irodaszer, nyomtatvány</t>
  </si>
  <si>
    <t xml:space="preserve">               Hajtó és kenőanyag</t>
  </si>
  <si>
    <t xml:space="preserve">               Egyéb készlet beszerzések</t>
  </si>
  <si>
    <t xml:space="preserve">      Villamosenergia szolgáltatás</t>
  </si>
  <si>
    <t xml:space="preserve">      Víz és csatorna díjak</t>
  </si>
  <si>
    <t xml:space="preserve">      Karbantartási kisjavítási szolgáltatás</t>
  </si>
  <si>
    <t xml:space="preserve">      Egyéb üzemeltetési fenntartási kiadások</t>
  </si>
  <si>
    <t>16.Költségvetési cím összesen</t>
  </si>
  <si>
    <t>illetmények részletezése a 9. számú melléklet</t>
  </si>
  <si>
    <t xml:space="preserve">               Könyv beszerzés</t>
  </si>
  <si>
    <t xml:space="preserve">               Folyóirat beszerzés</t>
  </si>
  <si>
    <t xml:space="preserve">               Egyéb információhordozó beszerzés</t>
  </si>
  <si>
    <t xml:space="preserve"> </t>
  </si>
  <si>
    <t>Település igazgatási, kommunális és sport feladatok</t>
  </si>
  <si>
    <t>Körjegyzőségek müködése</t>
  </si>
  <si>
    <t>Körjegyzőségek támogatása összesen</t>
  </si>
  <si>
    <t>Társadalmi és gazdasági szempontból elmaradott települések támogatása</t>
  </si>
  <si>
    <t>Ezen a szakfeladaton kell tervezni és elszámolni a szociális rendeletben eseti folyósításra megállapított támogatásokat, itt kell figyelembe venni a közgyógyellátási igazolványok térítését.Bevételként ezen a szakfeladaton számoljuk el a mozgáskorlátozottak közlekedési támogatására átvett pénzeszközt.</t>
  </si>
  <si>
    <t>Teljesítménymutató: eseti segélyezettek száma. fő</t>
  </si>
  <si>
    <t>14 Költségvetési cím összesen</t>
  </si>
  <si>
    <t>55231-2 Óvodai intézményi étkeztetés</t>
  </si>
  <si>
    <t>Ezen a szakfeladaton kell tervezni és elszámolni az óvoda által szervezett intézményi étkeztetés keretében az óvodás gyermekeknek biztosított étkezésekkel kapcsolatos bevételeket és kiadásokat.</t>
  </si>
  <si>
    <t>Feladatmutató: étkeztetést igénylők száma fő</t>
  </si>
  <si>
    <t>Teljesítménymutató: éves élelmezési napok sz. db</t>
  </si>
  <si>
    <t>Kihasználtsági mutató számitás az 1.sz mellékleten</t>
  </si>
  <si>
    <t>Intézményi ellátás díjának bevétele</t>
  </si>
  <si>
    <t xml:space="preserve">         étkezésben résztvevők száma : Fő</t>
  </si>
  <si>
    <t xml:space="preserve">         étkezési napok száma 01 - 02 hó</t>
  </si>
  <si>
    <t xml:space="preserve">         étkezési napok száma 03 - 12 hó</t>
  </si>
  <si>
    <t xml:space="preserve">         kihasználtsági mutató</t>
  </si>
  <si>
    <t xml:space="preserve">         téritési díj 01.-02. hó:  Ft/fő/nap</t>
  </si>
  <si>
    <t xml:space="preserve">         téritési díj 03.-12. hó:  Ft/fő/nap</t>
  </si>
  <si>
    <t>Kiszámlázott term.szolgáltatások ÁFA-ja</t>
  </si>
  <si>
    <t>55231-2 szakfeladat</t>
  </si>
  <si>
    <t>Kiegészitő támogatás bér kiadásokhoz</t>
  </si>
  <si>
    <t>Budainé Pázmándi Judit</t>
  </si>
  <si>
    <t xml:space="preserve">  Foglalkoztatott létszám fő</t>
  </si>
  <si>
    <t xml:space="preserve">  Étkezési hozzájárulás Ft/fő/hó</t>
  </si>
  <si>
    <t>Központosított előirányzatok:</t>
  </si>
  <si>
    <t>10 ktgvet cím önk hiv</t>
  </si>
  <si>
    <t>80121-4</t>
  </si>
  <si>
    <t>75176-8</t>
  </si>
  <si>
    <t>63121-1</t>
  </si>
  <si>
    <t>75184-5</t>
  </si>
  <si>
    <t>75186-7</t>
  </si>
  <si>
    <t>75187-8</t>
  </si>
  <si>
    <t>90111-6</t>
  </si>
  <si>
    <t>75175-7</t>
  </si>
  <si>
    <t>85123-1kieg eü ell</t>
  </si>
  <si>
    <t>85129-7 védőnő</t>
  </si>
  <si>
    <t>85327-9</t>
  </si>
  <si>
    <t>55231-2</t>
  </si>
  <si>
    <t>55232-3</t>
  </si>
  <si>
    <t>55241-1</t>
  </si>
  <si>
    <t>75192-2</t>
  </si>
  <si>
    <t>75196-6</t>
  </si>
  <si>
    <t>92181-5</t>
  </si>
  <si>
    <t>Tgyháza összesen</t>
  </si>
  <si>
    <t>Intézményi ellátási díjak</t>
  </si>
  <si>
    <t>Alkalmazottak téritése</t>
  </si>
  <si>
    <t>Hatósági engedélyezési dijak</t>
  </si>
  <si>
    <t>Egyéb Alaptev bevételek</t>
  </si>
  <si>
    <t>Alaptevékenység bevételei</t>
  </si>
  <si>
    <t>Állami felad.készlet,áru ért.</t>
  </si>
  <si>
    <t>Alaptevékenység körében végzett szolg.</t>
  </si>
  <si>
    <t>Alaptev sajátos szolg.</t>
  </si>
  <si>
    <t>Alaptevékenységgel összefüggő bev</t>
  </si>
  <si>
    <t>Bérleti és lizing dij bev</t>
  </si>
  <si>
    <t>Szellemi anyagi infrastrukt térítése</t>
  </si>
  <si>
    <t>Vendéglip.üzemeltetett int étterem bérlet</t>
  </si>
  <si>
    <t>elhaszn készletek értékesítése</t>
  </si>
  <si>
    <t>Dolgozó,hallgató kártéritése egyéb térit.</t>
  </si>
  <si>
    <t>Kötbér birság ehgyéb kártérit,</t>
  </si>
  <si>
    <t>Egyéb bevételek</t>
  </si>
  <si>
    <t>Intézm egyéb sajátos bevételei</t>
  </si>
  <si>
    <t>Működési ÁFA visszatér</t>
  </si>
  <si>
    <t>Felhalm ÁFA visszatér</t>
  </si>
  <si>
    <t>Kiszámlázott term szolg ÁFA</t>
  </si>
  <si>
    <t>Értékesített tárgyi eszk ÁFA</t>
  </si>
  <si>
    <t xml:space="preserve">Normatív állami hozzájárulások </t>
  </si>
  <si>
    <t>2007 évi pályázat II.</t>
  </si>
  <si>
    <t xml:space="preserve">        költségvetési törvény 3.sz.melléklet</t>
  </si>
  <si>
    <t>Müködési célra átvett pénzeszköz ÁHT-n belülről</t>
  </si>
  <si>
    <t>céltartalék</t>
  </si>
  <si>
    <t>2007 év összesen</t>
  </si>
  <si>
    <t>2007.év összesen</t>
  </si>
  <si>
    <t>Havi összeg</t>
  </si>
  <si>
    <t>II., Egyes szociális feladatok kiegészítő támogatása</t>
  </si>
  <si>
    <t>1., Egyes jövedelempótló támogatások kiegészítése</t>
  </si>
  <si>
    <t xml:space="preserve">       tervezett kifizetés alapján</t>
  </si>
  <si>
    <t xml:space="preserve">             tervezett kifizetés </t>
  </si>
  <si>
    <t>Rendszeres szociális segély</t>
  </si>
  <si>
    <t>csökkent munkaképességű ellátatlanok</t>
  </si>
  <si>
    <t>tartósan munkanélküliek</t>
  </si>
  <si>
    <t>Rendszeres szociális segély össz.</t>
  </si>
  <si>
    <t>Normatív ápolási dij</t>
  </si>
  <si>
    <t>Normatív ápolási dij össz.</t>
  </si>
  <si>
    <t>B / 8</t>
  </si>
  <si>
    <t>F / 11</t>
  </si>
  <si>
    <t>Juszkó Józsefné</t>
  </si>
  <si>
    <t>Farkas Jánosné</t>
  </si>
  <si>
    <t>92181-5 szakf összesen</t>
  </si>
  <si>
    <t>1., Egyes jövedelempótló támog. Kieg. Össz.</t>
  </si>
  <si>
    <t>2., Önkormányzat által szervezett közcélú foglalkoztatás</t>
  </si>
  <si>
    <t>Közcélú foglalkoztatás támogatása</t>
  </si>
  <si>
    <t>Normatív kötött felhasználású támogatások össz.</t>
  </si>
  <si>
    <t>75196-6 szakfeladat összesen</t>
  </si>
  <si>
    <t>92181-5 Müvelődési házak tevékenysége</t>
  </si>
  <si>
    <t xml:space="preserve">Ezen a szakfeladaton kell tervezni és elszámolni a müvelődési ház és könyvtár tevékenységével kapcsolatos kiadásokat és bevételeket. </t>
  </si>
  <si>
    <t>Feladatmutató:müvelődési házak száma db</t>
  </si>
  <si>
    <t xml:space="preserve">Teljesítménymutató: - </t>
  </si>
  <si>
    <t>Egyéb alaptevékenységi bevételek</t>
  </si>
  <si>
    <t>F / 5</t>
  </si>
  <si>
    <t>részletezés a ..számú mellékleten</t>
  </si>
  <si>
    <t xml:space="preserve">    januári bér kiadás</t>
  </si>
  <si>
    <t xml:space="preserve">    február - szeptember</t>
  </si>
  <si>
    <t xml:space="preserve">    1 havi külön juttatás</t>
  </si>
  <si>
    <t xml:space="preserve">         törölköző lepedő, polc, kerékpár stb</t>
  </si>
  <si>
    <t>Magán személyek komm adó</t>
  </si>
  <si>
    <t>Vállalkozók Komm adó</t>
  </si>
  <si>
    <t>Iparüzési adó</t>
  </si>
  <si>
    <t>Pótlékok birságok</t>
  </si>
  <si>
    <t>Helyi adó összesen</t>
  </si>
  <si>
    <t>SZJA normatívan elosztott</t>
  </si>
  <si>
    <t>,</t>
  </si>
  <si>
    <t>SZJA Összesen</t>
  </si>
  <si>
    <t>Gépjárműadó</t>
  </si>
  <si>
    <t>Termőföld bérbeadás SZJA</t>
  </si>
  <si>
    <t>Átengedett egyéb Központi adók</t>
  </si>
  <si>
    <t xml:space="preserve">         Rendezvények díj bevétele</t>
  </si>
  <si>
    <t xml:space="preserve">         Terem bérleti dijak</t>
  </si>
  <si>
    <t xml:space="preserve">ÁFA alap </t>
  </si>
  <si>
    <t>ÁFA bevétel</t>
  </si>
  <si>
    <t>92181-5 szakfeladat összesen</t>
  </si>
  <si>
    <t>16. Költségvetési cím összesen</t>
  </si>
  <si>
    <t>Bérleti dijak</t>
  </si>
  <si>
    <t>Név</t>
  </si>
  <si>
    <t>Besorolás</t>
  </si>
  <si>
    <t>Szorzó</t>
  </si>
  <si>
    <t>illetmény alap</t>
  </si>
  <si>
    <t>Besorolás szerinti illetmény</t>
  </si>
  <si>
    <t>Személyi illetmény</t>
  </si>
  <si>
    <t>alap illetmény</t>
  </si>
  <si>
    <t>Illetmény kiegészítés</t>
  </si>
  <si>
    <t>Pótlékok</t>
  </si>
  <si>
    <t>lépés</t>
  </si>
  <si>
    <t>lépés utáni alapilletmény változás</t>
  </si>
  <si>
    <t>jubileumi jutalom</t>
  </si>
  <si>
    <t>jubileumi jutalom esedékes</t>
  </si>
  <si>
    <t>Fizetendő jubileumi jutalom</t>
  </si>
  <si>
    <t>vezetői pótlék</t>
  </si>
  <si>
    <t>Körjegyzői pótlék</t>
  </si>
  <si>
    <t>nyelv pótlék</t>
  </si>
  <si>
    <t>képzettségi pótlék</t>
  </si>
  <si>
    <t>Önkormányzati ill. alap</t>
  </si>
  <si>
    <t>körjegyző</t>
  </si>
  <si>
    <t>25 éves</t>
  </si>
  <si>
    <t>Mezei Jánosné</t>
  </si>
  <si>
    <t>Összesen</t>
  </si>
  <si>
    <t>75115-3 Önkormányzatok igazgatási tevékenysége</t>
  </si>
  <si>
    <t>Tgyháza közs.</t>
  </si>
  <si>
    <t>Alapilletmények</t>
  </si>
  <si>
    <t>Nyelv pótlék</t>
  </si>
  <si>
    <t>Egyéb köt.pótlék</t>
  </si>
  <si>
    <t xml:space="preserve">           Első lakáshoz jutók támogatása</t>
  </si>
  <si>
    <t xml:space="preserve">Tartalékok </t>
  </si>
  <si>
    <t xml:space="preserve">           Felhalmozási tartalék</t>
  </si>
  <si>
    <t xml:space="preserve">     Alap illetmények</t>
  </si>
  <si>
    <t xml:space="preserve">                 januári bérkiadás</t>
  </si>
  <si>
    <t xml:space="preserve">                 február - december</t>
  </si>
  <si>
    <t xml:space="preserve">               Jutalom</t>
  </si>
  <si>
    <t>Feladatmutató: -</t>
  </si>
  <si>
    <t>Teljesítménymutató:-</t>
  </si>
  <si>
    <t>Személyi juttatások</t>
  </si>
  <si>
    <t>Rendszeres személyi juttatások</t>
  </si>
  <si>
    <t xml:space="preserve">      Kistérségnek járda</t>
  </si>
  <si>
    <t xml:space="preserve">             20%-os ÁFA</t>
  </si>
  <si>
    <t xml:space="preserve">             alap illetmények</t>
  </si>
  <si>
    <t xml:space="preserve">Villamos energia </t>
  </si>
  <si>
    <t xml:space="preserve">                20 %-os ÁFA</t>
  </si>
  <si>
    <t xml:space="preserve">     Belföldi kiküldetés</t>
  </si>
  <si>
    <t xml:space="preserve"> Külső személyi juttatások</t>
  </si>
  <si>
    <t xml:space="preserve">                5 %-os ÁFA</t>
  </si>
  <si>
    <t xml:space="preserve">               20 %-os ÁFA</t>
  </si>
  <si>
    <t>Kifizetett teljes összegű támogatásból levont nyugdij járulék</t>
  </si>
  <si>
    <t>kifizetett rész összegü támogatás Ft</t>
  </si>
  <si>
    <t>Kifizetett rész összegű támogatásból levont nyugdij járulék</t>
  </si>
  <si>
    <t>nyugdij biztosítási járulék teljes összegű támogatás után</t>
  </si>
  <si>
    <t>nyugdij biztosítási járulék rész összegű támogatás után</t>
  </si>
  <si>
    <t xml:space="preserve">Összes kiadás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</si>
  <si>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</si>
  <si>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</si>
  <si>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</si>
  <si>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</si>
  <si>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</si>
  <si>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</si>
  <si>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</si>
  <si>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</si>
  <si>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</si>
  <si>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</si>
  <si>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</si>
  <si>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</si>
  <si>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2004 év összesen</t>
  </si>
  <si>
    <t xml:space="preserve">átlag létszám </t>
  </si>
  <si>
    <t>éves átlagos létszám fő/hó</t>
  </si>
  <si>
    <t xml:space="preserve">tervezett </t>
  </si>
  <si>
    <t>összes kiadás</t>
  </si>
  <si>
    <t>90211-3</t>
  </si>
  <si>
    <t>Ezen a szakfeladaton kell tervezni és elszámolni a települési szilárd hulladék összegyüjtésével elszállításával kapcsolatos kiadásokat és bevételeket</t>
  </si>
  <si>
    <t xml:space="preserve">     Szemét szállítás</t>
  </si>
  <si>
    <t>90211-3 Szakfeladat összesen</t>
  </si>
  <si>
    <t>2005 januári kifizetés</t>
  </si>
  <si>
    <t>Részmunkaidőben fogalakozt.szociális juttatásai</t>
  </si>
  <si>
    <t>Szociális jellegű juttatások</t>
  </si>
  <si>
    <t>Teljes munkaidőben foglalkozt nem rendszeres juttatásai összesen</t>
  </si>
  <si>
    <t>Részmunkaidőben foglalkozt. nem rendszeres juttatásai összesen</t>
  </si>
  <si>
    <t xml:space="preserve"> Nem rendszeres juttatások összesen</t>
  </si>
  <si>
    <t>Egészségügyi hozzájárulás</t>
  </si>
  <si>
    <t xml:space="preserve">        Foglalkoztatott létszám fő</t>
  </si>
  <si>
    <t>ig.szolg.díj</t>
  </si>
  <si>
    <t>egyéb</t>
  </si>
  <si>
    <t>összes bev:</t>
  </si>
  <si>
    <t>Munkadót terhelő járulék összesen</t>
  </si>
  <si>
    <t>Dologi kiadások:</t>
  </si>
  <si>
    <t>Készlet beszerzések</t>
  </si>
  <si>
    <t xml:space="preserve"> Irodaszer nyomtatvány beszerzés</t>
  </si>
  <si>
    <t>Szolgáltatások</t>
  </si>
  <si>
    <t>Egyéb kommunikációs szolgáltatás</t>
  </si>
  <si>
    <t>Vásárolt közszolgáltatás</t>
  </si>
  <si>
    <t>Szolgáltatások összesen</t>
  </si>
  <si>
    <t>Különféle dologi kiadások</t>
  </si>
  <si>
    <t>Általános Forgalmi Adó</t>
  </si>
  <si>
    <t>ÁFA alap</t>
  </si>
  <si>
    <t>ÁFA</t>
  </si>
  <si>
    <t xml:space="preserve">         5 %-os ÁFA</t>
  </si>
  <si>
    <t>Költségvetési cím</t>
  </si>
  <si>
    <t>száma</t>
  </si>
  <si>
    <t>megnevezése</t>
  </si>
  <si>
    <t>gazdálkodási jogköre</t>
  </si>
  <si>
    <t>10.</t>
  </si>
  <si>
    <t>Önkormányzati Hivatal</t>
  </si>
  <si>
    <t>önállóan gazdálkodó</t>
  </si>
  <si>
    <t>11.</t>
  </si>
  <si>
    <t>részben önállóan gazdálkodó</t>
  </si>
  <si>
    <t>12.</t>
  </si>
  <si>
    <t>13.</t>
  </si>
  <si>
    <t>Település üzemeltetés</t>
  </si>
  <si>
    <t>14.</t>
  </si>
  <si>
    <t>Foglalkoztatás és szociálpolitikai feladatok</t>
  </si>
  <si>
    <t>15.</t>
  </si>
  <si>
    <t>Intézményi étkeztetés</t>
  </si>
  <si>
    <t>16.</t>
  </si>
  <si>
    <t>Önkormányzat elszámolásai és egyéb feladatok</t>
  </si>
  <si>
    <t>20.</t>
  </si>
  <si>
    <t>Bevételi forrás megnevezése</t>
  </si>
  <si>
    <t xml:space="preserve">Előirányzatok </t>
  </si>
  <si>
    <t xml:space="preserve">Összesen </t>
  </si>
  <si>
    <t>Összesenből</t>
  </si>
  <si>
    <t xml:space="preserve">Müködési </t>
  </si>
  <si>
    <t xml:space="preserve">Felhalmozási </t>
  </si>
  <si>
    <t>Alaptevékenységgel összefüggő egyéb  bevétel</t>
  </si>
  <si>
    <t>Intézmények egyéb sajátos bevételei</t>
  </si>
  <si>
    <t>ÁFA bevételek visszatérülések</t>
  </si>
  <si>
    <t>Kiadási előirányzat megnevezése</t>
  </si>
  <si>
    <t>Munkaadói Járulék</t>
  </si>
  <si>
    <t>Táppénz hozzájárulás</t>
  </si>
  <si>
    <t>Oktatási intézmények üzemeltetése</t>
  </si>
  <si>
    <t>Ezen a szakfeladaton kell tervezni és elszámolni a közhasznú és közcélú foglalkoztatással kapcsolatos  kiadásokat és bevételeket. Nem számolható el a szakfeladaton a közcélú foglalkoztatás állami támogatása.</t>
  </si>
  <si>
    <t>55232-3 Iskolai intézményi étkeztetés</t>
  </si>
  <si>
    <t>Intézményi ellátás díjának bevétele 01-02 hó</t>
  </si>
  <si>
    <t>rekultivációs munkák</t>
  </si>
  <si>
    <t>85328-8</t>
  </si>
  <si>
    <t>85196-7</t>
  </si>
  <si>
    <t>85332-2</t>
  </si>
  <si>
    <t>Kiegészítő alapellátási szolgáltatások</t>
  </si>
  <si>
    <t xml:space="preserve">Családsegítés, gyermekjóléti szolgálat </t>
  </si>
  <si>
    <t>Egyéb szociális és gyermekjóléti szolgálat</t>
  </si>
  <si>
    <t>Rendszeres gyermekvédelmi pénzbeli ellátások</t>
  </si>
  <si>
    <t>Intézményi ellátás díjának bevétele 03-12 hó</t>
  </si>
  <si>
    <t>téritési dij</t>
  </si>
  <si>
    <t xml:space="preserve">2004.évi teljesített nettó bevétel </t>
  </si>
  <si>
    <t>Ezen a szakfeladaton kell tervezni és elszámolni az iskola által szervezett intézményi étkeztetés keretében a tanulóknak biztosított étkezésekkel kapcsolatos bevételeket és kiadásokat.</t>
  </si>
  <si>
    <t xml:space="preserve">    Menza</t>
  </si>
  <si>
    <t xml:space="preserve">         étkezésben résztvevők száma : fő</t>
  </si>
  <si>
    <t>55232-3 szakfeladat</t>
  </si>
  <si>
    <t>55241-1 Munkahelyi vendéglátás</t>
  </si>
  <si>
    <t>Alkalmazottak ellátási dijának bevétele</t>
  </si>
  <si>
    <t xml:space="preserve">      ebédet igénybe vevők</t>
  </si>
  <si>
    <t>55241-1 szakfeladat</t>
  </si>
  <si>
    <t>15 Költségvetési cím összesen</t>
  </si>
  <si>
    <t>körj miatt</t>
  </si>
  <si>
    <t>Folyástól összesen</t>
  </si>
  <si>
    <t>75196-6 Önkormányzatok feladatra nem tervezhető elszámolásai</t>
  </si>
  <si>
    <t>Ezen  szakfeladaton kell kimutatni a helyi önkormányzatokat megillető sajátos folyó- felhalmozási és tőke jellegű bevételeket valamint a költségvetési támogatást.</t>
  </si>
  <si>
    <t xml:space="preserve">Helyi adók </t>
  </si>
  <si>
    <t xml:space="preserve">      Magánszemélyek kommunális adója</t>
  </si>
  <si>
    <t xml:space="preserve">      Vállalkozók kommunális adója</t>
  </si>
  <si>
    <t xml:space="preserve">      Pótlék, birság</t>
  </si>
  <si>
    <t>Helyi adók összesen</t>
  </si>
  <si>
    <t xml:space="preserve">Átengedett Központi adók </t>
  </si>
  <si>
    <t xml:space="preserve">  mozgáskorl. közl.támog. 2004.évi szinten</t>
  </si>
  <si>
    <t>hónap</t>
  </si>
  <si>
    <t>naptári étk.nap szám</t>
  </si>
  <si>
    <t>ÓVODA</t>
  </si>
  <si>
    <t>ISKOLA EBÉD</t>
  </si>
  <si>
    <t>munkahelyi étkezők által igénybe vett adag szám  ebéd</t>
  </si>
  <si>
    <t>Létszám</t>
  </si>
  <si>
    <t>igénybevehető étk.nap</t>
  </si>
  <si>
    <t>tényleges igénybe vét.</t>
  </si>
  <si>
    <t>50 %-os kedvezmény</t>
  </si>
  <si>
    <t>100 %-os kedvezmény</t>
  </si>
  <si>
    <t>napi két étkezés</t>
  </si>
  <si>
    <t>kihasználtsági mutató %</t>
  </si>
  <si>
    <t>50% kedvezmény</t>
  </si>
  <si>
    <t>100 % kedvezmény</t>
  </si>
  <si>
    <t xml:space="preserve">    Állami támogatás összeg</t>
  </si>
  <si>
    <t xml:space="preserve">    Támogatás napi összege</t>
  </si>
  <si>
    <t xml:space="preserve">    Foglalkoztatási kötelezettség munkanap</t>
  </si>
  <si>
    <t xml:space="preserve">    Éves munkanapok száma 01.01-11.30.</t>
  </si>
  <si>
    <t>24.</t>
  </si>
  <si>
    <t>Felhalmozási célú hitel</t>
  </si>
  <si>
    <t>Felhalmozási bevételek összesen</t>
  </si>
  <si>
    <t>Felhalmozási kiadások ÁFÁ-val</t>
  </si>
  <si>
    <t>Felhalmozási célú pénzeszköz átadás</t>
  </si>
  <si>
    <t>Felújítási kiadások ÁFÁ-val</t>
  </si>
  <si>
    <t>32.</t>
  </si>
  <si>
    <t>33.</t>
  </si>
  <si>
    <t>Intézmények müködési  bevételei össz.</t>
  </si>
  <si>
    <t>Helyi adók</t>
  </si>
  <si>
    <t xml:space="preserve">      vállalkozók kommunális adója</t>
  </si>
  <si>
    <t xml:space="preserve">      Pótlékok bírságok</t>
  </si>
  <si>
    <t>Átengedett központi adók</t>
  </si>
  <si>
    <t xml:space="preserve">      Személyi jövedelem adó</t>
  </si>
  <si>
    <t xml:space="preserve">      Gépjárműadó</t>
  </si>
  <si>
    <t>területi pótlék 18%</t>
  </si>
  <si>
    <t xml:space="preserve">     Kis értékű tárgyi eszk </t>
  </si>
  <si>
    <t xml:space="preserve">            létszám fő</t>
  </si>
  <si>
    <t xml:space="preserve">       LEKI támogatás iskola</t>
  </si>
  <si>
    <t xml:space="preserve">      Vis Maior támogatásból </t>
  </si>
  <si>
    <t xml:space="preserve">      LEKI támogatásból</t>
  </si>
  <si>
    <t xml:space="preserve">    Bérleti díjak 2006.évi szinten</t>
  </si>
  <si>
    <t xml:space="preserve">     Védőnői ellátás fix díj</t>
  </si>
  <si>
    <t xml:space="preserve">     Védőnői ellátás kiegészítő pótlék</t>
  </si>
  <si>
    <t xml:space="preserve">     Védőnői ellátás fejkvota szerint</t>
  </si>
  <si>
    <t xml:space="preserve">85129-7 Védőnői szolgálat </t>
  </si>
  <si>
    <t>Ezen a szakfeladaton kell elszámolni bevételként az OEP finanszírozást.</t>
  </si>
  <si>
    <t>Ezen a szakfeladaton kell tervezni és elszámolni a közhasznú, közcélú  foglalkoztatással és közmunka programmal kapcsolatos bevételeket és kiadásokat.</t>
  </si>
  <si>
    <t xml:space="preserve">85129-7 szakfeladat összesen </t>
  </si>
  <si>
    <t>Teljesítménymutató: rendszeres segélyezettek száma fő</t>
  </si>
  <si>
    <t>Ssz.</t>
  </si>
  <si>
    <t>általános tartalék</t>
  </si>
  <si>
    <t>hortobágy</t>
  </si>
  <si>
    <t>Egyéb dologi kiadás 56329</t>
  </si>
  <si>
    <t>visszafizetés:</t>
  </si>
  <si>
    <t>gyógyszer</t>
  </si>
  <si>
    <t>könyv</t>
  </si>
  <si>
    <t>folyóirat</t>
  </si>
  <si>
    <t>Összesen:</t>
  </si>
  <si>
    <t>Önkormányzat sajátos működési bevétele</t>
  </si>
  <si>
    <t>helyi adók</t>
  </si>
  <si>
    <t>átengedett központi adók</t>
  </si>
  <si>
    <t>egyéb bevételek</t>
  </si>
  <si>
    <t>Felhalmozás és tőkejellegű bevételek</t>
  </si>
  <si>
    <t xml:space="preserve"> -</t>
  </si>
  <si>
    <t xml:space="preserve"> - </t>
  </si>
  <si>
    <t>4.</t>
  </si>
  <si>
    <t>Önkormányzat költségvetési támogatása</t>
  </si>
  <si>
    <t>Átvett pénzeszközök, tám. ért. bev.</t>
  </si>
  <si>
    <t>Bevételek összesen:(1+2+3+4+5+6)</t>
  </si>
  <si>
    <t>Hitelek:</t>
  </si>
  <si>
    <t>Összes bevétel(bev. össz. +7. Sor)</t>
  </si>
  <si>
    <t>Rendszeres szem.-i jut.</t>
  </si>
  <si>
    <t>Nem rendszeres szem.-i jut.</t>
  </si>
  <si>
    <t>Külső szem.-i jut.</t>
  </si>
  <si>
    <t>Munkaadókat terh. jár.-ok</t>
  </si>
  <si>
    <t>Pe. átadás és egyéb  tám.</t>
  </si>
  <si>
    <t>Működési c. pe. Átadás</t>
  </si>
  <si>
    <t>Felhalmozási c. pe. Átadás</t>
  </si>
  <si>
    <t>Társadalom és szoc.pol.jut.</t>
  </si>
  <si>
    <t>Beruházási kiadások</t>
  </si>
  <si>
    <t>Felújítási kiadások</t>
  </si>
  <si>
    <t>Kiadások összesen:</t>
  </si>
  <si>
    <t xml:space="preserve">Önkormányzat által folyósitott ellátások </t>
  </si>
  <si>
    <t xml:space="preserve">           várható támogatotti létszám fő</t>
  </si>
  <si>
    <t xml:space="preserve">           januári kifizetés</t>
  </si>
  <si>
    <t>éves átlag létszám</t>
  </si>
  <si>
    <t xml:space="preserve">           február - december</t>
  </si>
  <si>
    <t xml:space="preserve">     részletezés a 4.sz.mellékleten</t>
  </si>
  <si>
    <t>Csökkent munkaképességű ellátatlanok</t>
  </si>
  <si>
    <t>Rendszeres szociális segély összesen</t>
  </si>
  <si>
    <t>Ápolási dij</t>
  </si>
  <si>
    <t>11.ktgvet cím oktat.int. fenntart.</t>
  </si>
  <si>
    <t>12.ktgvet cím tel.üz</t>
  </si>
  <si>
    <t>13.ktgvet cím</t>
  </si>
  <si>
    <t>14.ktgvet cím étkeztet.</t>
  </si>
  <si>
    <t>15.ktgvet cím önk.elsz.</t>
  </si>
  <si>
    <t xml:space="preserve">      Körjegyzőség megszünése miatt Folyás önkormányzatától</t>
  </si>
  <si>
    <t xml:space="preserve">     Alanyi jogon</t>
  </si>
  <si>
    <t xml:space="preserve">Egyéb üzemeltetési szolgáltatás </t>
  </si>
  <si>
    <t>12. Ktgvet cím tel.üz</t>
  </si>
  <si>
    <t>13. Foglalkoztatás és szociálpolitikai feladatok</t>
  </si>
  <si>
    <t xml:space="preserve">               Kisértékű tárgyi eszköz</t>
  </si>
  <si>
    <t>Beruházási kiadások ÁFA</t>
  </si>
  <si>
    <t>Beruházási kiadások összesen</t>
  </si>
  <si>
    <t>Pénzforgalom nélküli kiadások</t>
  </si>
  <si>
    <t>Kiadások összesen</t>
  </si>
  <si>
    <t>Működési hitel visszafizetés</t>
  </si>
  <si>
    <t xml:space="preserve">Müködési  </t>
  </si>
  <si>
    <t>Önkormányzati hiv.</t>
  </si>
  <si>
    <t>Összes kiadás</t>
  </si>
  <si>
    <t>80121-4 iskola épület fenntartása</t>
  </si>
  <si>
    <t>80111-5 óvoda épület fenntartása</t>
  </si>
  <si>
    <t>11.ktgvet cím oktatási intézm. Fenntart.</t>
  </si>
  <si>
    <t xml:space="preserve">80121-4 Alapfokú oktatás </t>
  </si>
  <si>
    <t>Ezen a szakfeladaton kell tervezni és elszámolni az intézmény müködtetésével kapcsolatos kiadásokat, melyek nem közvetlenül az oktatás nevelés érdekében merülnek fel.( Pl.: épület fenntartási, üzemeltetési kiadások.) Az intézményfenntartó társulási megállapodás alapján.</t>
  </si>
  <si>
    <t>2008.január 1-től</t>
  </si>
  <si>
    <t>garantált illetmény 2007.12.31.</t>
  </si>
  <si>
    <t>Közalkalma- zotti jogviszony  2007.12.31</t>
  </si>
  <si>
    <t>Munkábajárási ktg</t>
  </si>
  <si>
    <t xml:space="preserve">     Vásárolt közszolgáltatás</t>
  </si>
  <si>
    <t>80111-5 Óvodai nevelés</t>
  </si>
  <si>
    <t xml:space="preserve">     részletezés az 5.sz.mellékleten</t>
  </si>
  <si>
    <t xml:space="preserve">           támogatás a nyugdij minimum 100%-a</t>
  </si>
  <si>
    <t>Járulék alap</t>
  </si>
  <si>
    <t>járulék</t>
  </si>
  <si>
    <t xml:space="preserve">            Alanyi jogon</t>
  </si>
  <si>
    <t xml:space="preserve"> méltányossági</t>
  </si>
  <si>
    <t xml:space="preserve">     részletezés a 6.sz.mellékleten</t>
  </si>
  <si>
    <t xml:space="preserve">           támogatás a nyugdij minimum 80%-a</t>
  </si>
  <si>
    <t>Egyéb bérrendszer hatálya alá tartozók</t>
  </si>
  <si>
    <t>853344 Eseti pénzbeni ellátások</t>
  </si>
  <si>
    <t>853344 szakfeladat összesen</t>
  </si>
  <si>
    <t xml:space="preserve">   közhasznú foglalkoztatás</t>
  </si>
  <si>
    <t xml:space="preserve">       Fogalkoztatott létszám fő</t>
  </si>
  <si>
    <t xml:space="preserve">       Bér Ft/fő/hó</t>
  </si>
  <si>
    <t>Közcélú foglalkoztatás</t>
  </si>
  <si>
    <t>Müködési célú pénzeszköz átvétel</t>
  </si>
  <si>
    <t>7.</t>
  </si>
  <si>
    <t>Müködési célú hitel felvétel</t>
  </si>
  <si>
    <t>8.</t>
  </si>
  <si>
    <t>Pénzmaradvány</t>
  </si>
  <si>
    <t>9.</t>
  </si>
  <si>
    <t>Müködési bevételek összesen</t>
  </si>
  <si>
    <t>Egyéb folyó kiadás</t>
  </si>
  <si>
    <t>Működési célú pénzeszköz átadás</t>
  </si>
  <si>
    <t>17.</t>
  </si>
  <si>
    <t>Önkormányzatok sajátos felhalmozási bevét.</t>
  </si>
  <si>
    <t>Pénzügyi befektetések bevételei</t>
  </si>
  <si>
    <t xml:space="preserve">Felhalmozási és tőke jellegű bevételek összesen </t>
  </si>
  <si>
    <t xml:space="preserve">Normatív állami támogatás </t>
  </si>
  <si>
    <t>Központosított előirányzatok</t>
  </si>
  <si>
    <t>Kötött felhasználású normatívák</t>
  </si>
  <si>
    <t>Központi költségvetési támogatás összesen</t>
  </si>
  <si>
    <t>Müködési célú pénzeszköz átvétel államháztartáson kivülről</t>
  </si>
  <si>
    <t>Személyhez kapcsolódó ktg téritések jut.</t>
  </si>
  <si>
    <t xml:space="preserve">                Foglalkoztatott létszám Fő</t>
  </si>
  <si>
    <t xml:space="preserve">                Étkezési hozzájárulás mértéke Ft/fő/hó</t>
  </si>
  <si>
    <t>Egyéb költségtérítés hozzájárulás</t>
  </si>
  <si>
    <t xml:space="preserve">         Egyéb ktg térítés</t>
  </si>
  <si>
    <t>állományba nem tartozók juttatásai</t>
  </si>
  <si>
    <t>85324-4 szakfeladat összesen</t>
  </si>
  <si>
    <t>85324-4 Családsegítés</t>
  </si>
  <si>
    <t>sorszám</t>
  </si>
  <si>
    <t>Felújítási cél</t>
  </si>
  <si>
    <t xml:space="preserve">száma </t>
  </si>
  <si>
    <t xml:space="preserve"> megnevezése</t>
  </si>
  <si>
    <t>Felújítás összesen</t>
  </si>
  <si>
    <t>felhalmozási cél</t>
  </si>
  <si>
    <t xml:space="preserve">Müködési célú hitel </t>
  </si>
  <si>
    <t>Lakáshoz jutás támogatása</t>
  </si>
  <si>
    <t>Felhalmozási kiadások összesen</t>
  </si>
  <si>
    <t>szakfeladat</t>
  </si>
  <si>
    <t>Kiadások</t>
  </si>
  <si>
    <t>I. Kiadások és bevételek feladatonként</t>
  </si>
  <si>
    <t>55231 2</t>
  </si>
  <si>
    <t>1 főre jutó támogatás</t>
  </si>
  <si>
    <t xml:space="preserve">           támogatás a nyugdij minimum 130%-a</t>
  </si>
  <si>
    <t>Fokozott ápolást igénylők</t>
  </si>
  <si>
    <t>1 főre jutó támogatási összeg Ft/fő</t>
  </si>
  <si>
    <t>átlagos támogatási összeg</t>
  </si>
  <si>
    <t xml:space="preserve">           Közgyógyellátás </t>
  </si>
  <si>
    <t xml:space="preserve">                                           ebéd</t>
  </si>
  <si>
    <t xml:space="preserve">                                          napközi</t>
  </si>
  <si>
    <t>lakosságszám 2006 január 1-én</t>
  </si>
  <si>
    <t>Tiszagyulaháza</t>
  </si>
  <si>
    <t xml:space="preserve"> megosztott kiadás</t>
  </si>
  <si>
    <t>75115-3 körj megszün miatt</t>
  </si>
  <si>
    <t xml:space="preserve">            Egyéb készlet beszerzések</t>
  </si>
  <si>
    <t xml:space="preserve"> Készlet beszerzések összesen</t>
  </si>
  <si>
    <t>Nem adatátviteli célú távközlési dijak</t>
  </si>
  <si>
    <t>Egyéb kommunikációs szolg</t>
  </si>
  <si>
    <t>Bérleti és lizing dijak</t>
  </si>
  <si>
    <t xml:space="preserve">            világitó testek bérleti dija</t>
  </si>
  <si>
    <t>Villamosenergia szolgáltatás</t>
  </si>
  <si>
    <t>Víz és csatornadíjak</t>
  </si>
  <si>
    <t>Egyéb üzemeltetési fenntartási szolg</t>
  </si>
  <si>
    <t>Általános forgalmi adó</t>
  </si>
  <si>
    <t xml:space="preserve">                   5 %-os ÁFA</t>
  </si>
  <si>
    <t>Általános forgalmi adó összesen</t>
  </si>
  <si>
    <t xml:space="preserve">Önkormányzatok elsz. </t>
  </si>
  <si>
    <t>Művelődési ház felújítása</t>
  </si>
  <si>
    <t>Kiküldetés reprezentáció reklám</t>
  </si>
  <si>
    <t xml:space="preserve">Reprezentáció </t>
  </si>
  <si>
    <t>Kiküldetés reprezentáció reklám összesen</t>
  </si>
  <si>
    <t>Egyéb dologi kiadás</t>
  </si>
  <si>
    <t xml:space="preserve">                       falunap rendezésre</t>
  </si>
  <si>
    <t>Különféle dologi kiadások összesen</t>
  </si>
  <si>
    <t>Különféle adók dijak egyéb befizetések</t>
  </si>
  <si>
    <t>Hajdúböszörmény regionális szemétlerakó</t>
  </si>
  <si>
    <t>21.űrlap 54 sor</t>
  </si>
  <si>
    <t>Vállalkozók, magánszemélyek támogatása ( falunap)</t>
  </si>
  <si>
    <t>Közoktatás modernizációs alapítvány pályázat</t>
  </si>
  <si>
    <t>Időközi választásra átvett</t>
  </si>
  <si>
    <t>Polgártól szennyviz hálózat</t>
  </si>
  <si>
    <t>22.űrlap 47.sor</t>
  </si>
  <si>
    <t>Járulék 24%</t>
  </si>
  <si>
    <t xml:space="preserve">   Nyugdijbiztosítási járulék</t>
  </si>
  <si>
    <t>Járulék 4,5%</t>
  </si>
  <si>
    <t xml:space="preserve">  Természetbeni egészségbiztosítási járulék</t>
  </si>
  <si>
    <t xml:space="preserve">  Pénzbeli egészségbiztosítási járulék</t>
  </si>
  <si>
    <t>Járulék 0,5%</t>
  </si>
  <si>
    <t>Társadalombiztosítási  járulék összesen</t>
  </si>
  <si>
    <t xml:space="preserve">                       pályázati dijak</t>
  </si>
  <si>
    <t xml:space="preserve">           Fejlesztési hitel kamat</t>
  </si>
  <si>
    <t xml:space="preserve">           Működési hitel kamat</t>
  </si>
  <si>
    <t xml:space="preserve">           egyéb kamat</t>
  </si>
  <si>
    <t xml:space="preserve">           Fejlesztési hitel tőke törlesztés</t>
  </si>
  <si>
    <t xml:space="preserve">           iskolai tábor támogatása</t>
  </si>
  <si>
    <t xml:space="preserve">           mikulás csomag</t>
  </si>
  <si>
    <t xml:space="preserve">          mozgáskorlátozottak közl.támogatása</t>
  </si>
  <si>
    <t xml:space="preserve">          Bursa hungarica ösztöndij</t>
  </si>
  <si>
    <t>Természetben nyujtott szociális ellátások</t>
  </si>
  <si>
    <t xml:space="preserve">           Köztemetés</t>
  </si>
  <si>
    <t xml:space="preserve">           Téritési dij mérséklés</t>
  </si>
  <si>
    <t xml:space="preserve">                    kedvezményesen étkezők aránya</t>
  </si>
  <si>
    <t xml:space="preserve">                                          iskola</t>
  </si>
  <si>
    <t>alap</t>
  </si>
  <si>
    <t>kedvezmény</t>
  </si>
  <si>
    <t xml:space="preserve">                                           óvoda</t>
  </si>
  <si>
    <t>megbizási dijak</t>
  </si>
  <si>
    <t xml:space="preserve">             ingyenesen étkezők aránya</t>
  </si>
  <si>
    <t xml:space="preserve">           Szoc biz hatáskörben eseti díj mérséklés </t>
  </si>
  <si>
    <t xml:space="preserve"> kifizetés ideje</t>
  </si>
  <si>
    <t>igényelt támogatás</t>
  </si>
  <si>
    <t>2004.év összesen</t>
  </si>
  <si>
    <t>éves átlagos létszám</t>
  </si>
  <si>
    <t>Villamos energia szolgáltatás</t>
  </si>
  <si>
    <t>Távhő és melegviz szolgáltatás</t>
  </si>
  <si>
    <t>Víz és csatornadíj</t>
  </si>
  <si>
    <t>Karbantartási szolgáltatás</t>
  </si>
  <si>
    <t>Egyéb üzemeltetési fenntartási szolgáltatás</t>
  </si>
  <si>
    <t>Vásárolt termékek szolg.ÁFA</t>
  </si>
  <si>
    <t>Beszerzett könyvtári dok ÁFA</t>
  </si>
  <si>
    <t>75199-9 Finanszírozási műveletek</t>
  </si>
  <si>
    <t>Működési hitel felvétel</t>
  </si>
  <si>
    <t xml:space="preserve">        költségvetési törvény 8.sz.melléklet I.</t>
  </si>
  <si>
    <t xml:space="preserve">        költségvetési törvény 5.sz.melléklet 27</t>
  </si>
  <si>
    <t>Felhalmozási tartalék</t>
  </si>
  <si>
    <t>Tartalékok összesen</t>
  </si>
  <si>
    <t>Működési kiadások</t>
  </si>
  <si>
    <t>Szakfeladat összesen</t>
  </si>
  <si>
    <t>10 Költségvetési cím Önkormányzati Hivatal</t>
  </si>
  <si>
    <t>Állandó lakóhely</t>
  </si>
  <si>
    <t>kötelező lépés</t>
  </si>
  <si>
    <t>fizetendő jubileumi jutalom</t>
  </si>
  <si>
    <t>Balogh Jánosné</t>
  </si>
  <si>
    <t>30 éves</t>
  </si>
  <si>
    <t>Dobos Lászlóné</t>
  </si>
  <si>
    <t>F/11</t>
  </si>
  <si>
    <t>Kapus Istvánné</t>
  </si>
  <si>
    <t>Tiszaujváros</t>
  </si>
  <si>
    <t>Kapus Józsefné</t>
  </si>
  <si>
    <t>F/ 10</t>
  </si>
  <si>
    <t>Katona Ferencné</t>
  </si>
  <si>
    <t>Kékesi Istvánné</t>
  </si>
  <si>
    <t>40 éves</t>
  </si>
  <si>
    <t>Polgár</t>
  </si>
  <si>
    <t>Radics Zoltánné</t>
  </si>
  <si>
    <t>Sándorné Mézes Viktória</t>
  </si>
  <si>
    <t>Tamás Antalné</t>
  </si>
  <si>
    <t>F/ 12</t>
  </si>
  <si>
    <t>2007 évi teljesítés</t>
  </si>
  <si>
    <t>2008.évi terv</t>
  </si>
  <si>
    <t xml:space="preserve">      Kistérségi társulás tagdij</t>
  </si>
  <si>
    <t xml:space="preserve">                 Normatív támogatás</t>
  </si>
  <si>
    <t xml:space="preserve">                 Tgyházát terhelő rész</t>
  </si>
  <si>
    <t xml:space="preserve">       Körjegyzőségre összesen</t>
  </si>
  <si>
    <t xml:space="preserve">      Ujtikosnak Körjegyzőségre</t>
  </si>
  <si>
    <t xml:space="preserve"> Újtikosnak összesen</t>
  </si>
  <si>
    <t xml:space="preserve">    Polgárőrség támogatása</t>
  </si>
  <si>
    <t xml:space="preserve">    Alapítványok támogatása</t>
  </si>
  <si>
    <t>tisztelet dij/ illetmény  2008.évben</t>
  </si>
  <si>
    <t>tisztelet dij/ illetmény  2007.évben</t>
  </si>
  <si>
    <t>alap illetmény 2007.12.31-én</t>
  </si>
  <si>
    <t>alap illetmény 2008</t>
  </si>
  <si>
    <t xml:space="preserve">     Köztisztviselők alap illetménye</t>
  </si>
  <si>
    <t>Egyéb bérrendszer hat.alá.tart.alapilleteménye</t>
  </si>
  <si>
    <t xml:space="preserve">     Alap illetmények összesen</t>
  </si>
  <si>
    <t>Ruházati ktg térítés</t>
  </si>
  <si>
    <t xml:space="preserve">               illetményalap</t>
  </si>
  <si>
    <t xml:space="preserve">               Foglalkoztatott létszám Fő</t>
  </si>
  <si>
    <t>átadott pénzeszköz</t>
  </si>
  <si>
    <t>gáz</t>
  </si>
  <si>
    <t>áram</t>
  </si>
  <si>
    <t>áfa:</t>
  </si>
  <si>
    <t>951967 összesen:</t>
  </si>
  <si>
    <t>gyermekvédelmi tám.</t>
  </si>
  <si>
    <t>853322 összesen:</t>
  </si>
  <si>
    <t>étkeztetés</t>
  </si>
  <si>
    <t>853288 öszesen:</t>
  </si>
  <si>
    <t>Személyhez kapcsolódó ktg téritések jut.össz</t>
  </si>
  <si>
    <t>Tiszagyulaháza 2005.08.06</t>
  </si>
  <si>
    <t xml:space="preserve">              téritési díj 01.-02. hó:  Ft/fő/nap ( rezsi 50%)</t>
  </si>
  <si>
    <t xml:space="preserve">              téritési díj 03.-12. hó:  Ft/fő/nap (rezsi 60% )</t>
  </si>
  <si>
    <t xml:space="preserve">          térítési dij norma +60% rezsi ktg</t>
  </si>
  <si>
    <t xml:space="preserve">              téritési díj 01.-02. hó:  Ft/fő/nap</t>
  </si>
  <si>
    <t xml:space="preserve">              téritési díj 03.-12. hó:  Ft/fő/nap </t>
  </si>
  <si>
    <t xml:space="preserve">      ebédet igénybe vevők összesen</t>
  </si>
  <si>
    <t>lakossági étkezés igénybevétel</t>
  </si>
  <si>
    <t xml:space="preserve">Személyi jövedelem adó </t>
  </si>
  <si>
    <t>Kovács Géza</t>
  </si>
  <si>
    <t>falugondnok</t>
  </si>
  <si>
    <t xml:space="preserve">        EHO mértéke </t>
  </si>
  <si>
    <t xml:space="preserve">                   20 %-os ÁFA</t>
  </si>
  <si>
    <t>Csige József</t>
  </si>
  <si>
    <t>Óvodai intézményi étkeztetés</t>
  </si>
  <si>
    <t>55232 2</t>
  </si>
  <si>
    <t>Iskolai intézményi étkeztetés</t>
  </si>
  <si>
    <t>55241 1</t>
  </si>
  <si>
    <t>Munkahelyi vendéglátás</t>
  </si>
  <si>
    <t>63121 1</t>
  </si>
  <si>
    <t>Helyi utak üzemeltetéselétesítése</t>
  </si>
  <si>
    <t>75115 3</t>
  </si>
  <si>
    <t>Önkormányzatok igazgatási tevékenysége</t>
  </si>
  <si>
    <t>75175 7</t>
  </si>
  <si>
    <t>Önkorm. Intézmények ellátó szolg.</t>
  </si>
  <si>
    <t>75184 5</t>
  </si>
  <si>
    <t>Város és községgazdálkodási feladatok</t>
  </si>
  <si>
    <t>75186 7</t>
  </si>
  <si>
    <t>Köztemető fenntartás</t>
  </si>
  <si>
    <t>75187 8</t>
  </si>
  <si>
    <t>Közvilágítási feladatok</t>
  </si>
  <si>
    <t>75192 2</t>
  </si>
  <si>
    <t>Önkormányzatok elszámolásai</t>
  </si>
  <si>
    <t>75196 6</t>
  </si>
  <si>
    <t>Önkormányzatok feladatra nem tervezhető elsz.</t>
  </si>
  <si>
    <t>80111 5</t>
  </si>
  <si>
    <t>Óvodai nevelés iskolai éltmódra felkészítés</t>
  </si>
  <si>
    <t>80121 4</t>
  </si>
  <si>
    <t>85123-1</t>
  </si>
  <si>
    <t>Egészségügyi ellátás egyéb feladatai</t>
  </si>
  <si>
    <t>85129-7</t>
  </si>
  <si>
    <t>Védőnői szolgálat</t>
  </si>
  <si>
    <t>Müködésre átvett kistérségtől</t>
  </si>
  <si>
    <t>Rendszeres pénzbeli ellátások</t>
  </si>
  <si>
    <t>92181 5</t>
  </si>
  <si>
    <t>Müvelődési házak tevékenysége</t>
  </si>
  <si>
    <t>Szennyvíz elvezetés és kezelés</t>
  </si>
  <si>
    <t xml:space="preserve">II. Az I. pontból tartalék </t>
  </si>
  <si>
    <t>1.</t>
  </si>
  <si>
    <t>Finanszírozási műveletek</t>
  </si>
  <si>
    <t>90211-3 Települési hulladékok kezelése köztisztasági tevékenység</t>
  </si>
  <si>
    <t>Települési hulladékok kezelése köztisztaság</t>
  </si>
  <si>
    <t xml:space="preserve">  Étkezési hozzájárulás</t>
  </si>
  <si>
    <t xml:space="preserve">       létszám fő</t>
  </si>
  <si>
    <t xml:space="preserve">       hozzájárulás mértéke Ft/fő/hó</t>
  </si>
  <si>
    <t>Egyéb költségtérítés</t>
  </si>
  <si>
    <t xml:space="preserve">       hozzájárulás mértéke Ft/fő/év</t>
  </si>
  <si>
    <t>Nem rendszeres személyi juttatások összesen</t>
  </si>
  <si>
    <t>Személyi juttatások összesen</t>
  </si>
  <si>
    <t>Munkaadókat terhelő járulékok</t>
  </si>
  <si>
    <t>Társadalombiztosítási  járulék</t>
  </si>
  <si>
    <t>Dologi kiadások</t>
  </si>
  <si>
    <t>Készletek</t>
  </si>
  <si>
    <t>Készletek összesen</t>
  </si>
  <si>
    <t>80121-4 szakfeladat összesen</t>
  </si>
  <si>
    <t>Feladat mutató: a létesitményt igénybevevők száma: fő</t>
  </si>
  <si>
    <t>Teljesítmény mutató:-</t>
  </si>
  <si>
    <t xml:space="preserve">havi kiadás </t>
  </si>
  <si>
    <t xml:space="preserve"> Közalkalmazottak alapilletménye:</t>
  </si>
  <si>
    <t xml:space="preserve">       januári bérkiadás</t>
  </si>
  <si>
    <t>Közalkalmazottak alapilletménye össz.</t>
  </si>
  <si>
    <t>Rendszeres személyi juttatások összesen</t>
  </si>
  <si>
    <t xml:space="preserve">     Hajtó és kenőanyag beszerzés</t>
  </si>
  <si>
    <t xml:space="preserve">     Munka védő ruha </t>
  </si>
  <si>
    <t xml:space="preserve">     Egyéb készlet beszerzés </t>
  </si>
  <si>
    <t xml:space="preserve">      Szállitási szolgáltatás</t>
  </si>
  <si>
    <t xml:space="preserve">Működési célú átvétel TB alapoktól </t>
  </si>
  <si>
    <t xml:space="preserve"> Támogatott létszám  fő</t>
  </si>
  <si>
    <t xml:space="preserve"> Támogatás ideje  hó</t>
  </si>
  <si>
    <t xml:space="preserve"> Támogatás mértéke Ft/fő/hó</t>
  </si>
  <si>
    <t>A  számitás alapja a 2007 évre tervezett norma a 2006 évi  kihasználtsági mutató. Az éves étkezési napok száma: a 2006 évben igénybe vehetővel azonos a gyermek étkeztetés esetében, a dolgozók és egyéb igénybevevők esetében a 2006 évi étkezési napok a várható  létszám és kihasználtság alapján.</t>
  </si>
  <si>
    <t>NAPKÖZI ( 3 étkezés )</t>
  </si>
  <si>
    <t>Napközi:tervezett létszám fő</t>
  </si>
  <si>
    <t>2006.évi naptári étkezési napok száma</t>
  </si>
  <si>
    <t>tényleges igénybevétel</t>
  </si>
  <si>
    <t>2006.évi teljesítés</t>
  </si>
  <si>
    <t xml:space="preserve">             20% Áfa alap:</t>
  </si>
  <si>
    <t xml:space="preserve">               5 %-os ÁFA </t>
  </si>
  <si>
    <t>A / 12</t>
  </si>
  <si>
    <t>D / 8</t>
  </si>
  <si>
    <t>A /11</t>
  </si>
  <si>
    <t>B / 5</t>
  </si>
  <si>
    <t>szociális étkeztetés nyersanyag ktg</t>
  </si>
  <si>
    <t>szociális étkeztetés</t>
  </si>
  <si>
    <t>ÁFA 20%</t>
  </si>
  <si>
    <t>napközi</t>
  </si>
  <si>
    <t>tervezés a dolgozók esetében a 2006.évi tényleges igénybevétel alapján  1.sz.melléklet szerint</t>
  </si>
  <si>
    <t xml:space="preserve">               Munkahelyi vendéglátás</t>
  </si>
  <si>
    <t>Kiszámlázott term ÁFA befizetése</t>
  </si>
  <si>
    <t>Tárgyi eszközök ÁFA befizetés</t>
  </si>
  <si>
    <t>ÁFA kiadások összesen</t>
  </si>
  <si>
    <t>Reprezentáció</t>
  </si>
  <si>
    <t xml:space="preserve">Reklám propaganda </t>
  </si>
  <si>
    <t>Kiküldetés reprezentáció összesen</t>
  </si>
  <si>
    <t>Előző évi maradvány visszafiz</t>
  </si>
  <si>
    <t>Váll tev eredménye utáni befiz</t>
  </si>
  <si>
    <t>Eredeti előir meghaladó bev uráni befiz</t>
  </si>
  <si>
    <t>Egyéb befizetési kötelezettség</t>
  </si>
  <si>
    <t>ÖNHIKI egyéb</t>
  </si>
  <si>
    <t>Egyéb központi támogatás</t>
  </si>
  <si>
    <t>Különféle költségvetési befiz</t>
  </si>
  <si>
    <t>Munkáltató által fizetett SZJA</t>
  </si>
  <si>
    <t>Nemzetközi tagsági dijak</t>
  </si>
  <si>
    <t>Adók dijak és egyéb befizetések</t>
  </si>
  <si>
    <t>Kamat kiadások ÁHT kívülre</t>
  </si>
  <si>
    <t>Kamat kiadások ÁHT belűlre</t>
  </si>
  <si>
    <t>Kamat kiadások összesen</t>
  </si>
  <si>
    <t>Egyéb folyó kiadások kiadások</t>
  </si>
  <si>
    <t>Dologi jellegű kiadások</t>
  </si>
  <si>
    <t>Felügyelet alá tart.szerv támogatása</t>
  </si>
  <si>
    <t>Müködési célra átadott pénzeszköz ÁHT-n kivülre</t>
  </si>
  <si>
    <t>Müködési célra átadott pénzeszköz ÁHT-n belülre</t>
  </si>
  <si>
    <t>Felhalmozási célra átadott pénzeszk. ÁHT-n kivülre</t>
  </si>
  <si>
    <t>Szakköny</t>
  </si>
  <si>
    <t>Tüzelő anyag beszerzés ( gáz palack)</t>
  </si>
  <si>
    <t>Kisértékű tárgyi eszk.</t>
  </si>
  <si>
    <t>Szakmai anyag</t>
  </si>
  <si>
    <t>Munkaruha</t>
  </si>
  <si>
    <t xml:space="preserve">     Tiszagyulaházáért alapítvány, Vörös kereszt,Sportklub</t>
  </si>
  <si>
    <t>2008.januári kifiz</t>
  </si>
  <si>
    <t xml:space="preserve">        2006-2007.évi kötelezettség</t>
  </si>
  <si>
    <t xml:space="preserve">        2008.évi kötelezettség</t>
  </si>
  <si>
    <t xml:space="preserve">        2006-7.évi kötelezettség</t>
  </si>
  <si>
    <t>85331-1 Rendszeres szociális pénzbeli ellátások</t>
  </si>
  <si>
    <t xml:space="preserve">Ezen a szakfeladaton kell tervezni és elszámolni a szociális  törvény és önkormányzati rendeletek alapján folyósított havi rendszeres segélyezési formákat. </t>
  </si>
  <si>
    <t>Itt kell tervezni és elszámolni az ápolási dijat,  az időskorúak járadékát a a 97 %-ban rokkantak rendszeres szociális segélyt, a lakás fenntartási támogatást és egyéb önkormányzati rendeletben szereplő rendszeres támogatásokat.</t>
  </si>
  <si>
    <t xml:space="preserve">           támogatási összeg: előző év átlag 105%</t>
  </si>
  <si>
    <t>emelt összegű támogatásban részesül fő</t>
  </si>
  <si>
    <t>kifizetett  emelt összegű támogatás Ft</t>
  </si>
  <si>
    <t>nyugdij biztosítási járulék emelt összegű támogatás után</t>
  </si>
  <si>
    <t>2008.januári kifizetés</t>
  </si>
  <si>
    <t xml:space="preserve">           nyugdij járulék 21%</t>
  </si>
  <si>
    <t>2008 januári kifizetés</t>
  </si>
  <si>
    <t xml:space="preserve">           támogatás átlagos  összege</t>
  </si>
  <si>
    <t>85331-1 szakfeladat összesen</t>
  </si>
  <si>
    <t>85333-3 Munkanélküli ellátások</t>
  </si>
  <si>
    <t>Ezen a szakfeladaton kell tervezni és elszámolni az aktív korúak munkanélküli jövedelem pótló támogatását, rendszeres szociális segélyét.</t>
  </si>
  <si>
    <t>munkanélküliek rendszeres szociális segélye</t>
  </si>
  <si>
    <t>85333-3 szak feladat összesen</t>
  </si>
  <si>
    <t>2007.évi teljesítés</t>
  </si>
  <si>
    <t>Mikó Zoltán</t>
  </si>
  <si>
    <t>képviselő</t>
  </si>
  <si>
    <t>Herbák József</t>
  </si>
  <si>
    <t>Megyesi Elemér</t>
  </si>
  <si>
    <t>Szép Jánosné</t>
  </si>
  <si>
    <t>Össesen</t>
  </si>
  <si>
    <t>Lecső Barnabásné</t>
  </si>
  <si>
    <t>Takarító</t>
  </si>
  <si>
    <t xml:space="preserve">        1 havi külön juttatás</t>
  </si>
  <si>
    <t>Megosztandó  rendszeres személyi juttatás:</t>
  </si>
  <si>
    <t>Megosztandó nem rendszeres személyi juttatás</t>
  </si>
  <si>
    <t>Megosztandó munkaadót terhelő járulék:</t>
  </si>
  <si>
    <t>Megosztandó dologi kiadás</t>
  </si>
  <si>
    <t>Megosztandó kiadás összesen</t>
  </si>
  <si>
    <t>vetítési alap a tervezett igénybevétel nyersanyag költsége</t>
  </si>
  <si>
    <t>óvodai étkeztetés nyersanyag költsége</t>
  </si>
  <si>
    <t>iskolai étkeztetés nyersanyag költsége</t>
  </si>
  <si>
    <t>munkahelyi  étkezők nyersanyag költsége</t>
  </si>
  <si>
    <t>Rendszeres személyi juttatások megosztása</t>
  </si>
  <si>
    <t>óvodai étkeztetés</t>
  </si>
  <si>
    <t>F / 7</t>
  </si>
  <si>
    <t>F / 13</t>
  </si>
  <si>
    <t>B / 9</t>
  </si>
  <si>
    <t>Ujtikos összesen</t>
  </si>
  <si>
    <t>6 év 3 hó</t>
  </si>
  <si>
    <t>29 év 4 hó</t>
  </si>
  <si>
    <t>24.év 1 hó 19 nap</t>
  </si>
  <si>
    <t>34 év 4 hó</t>
  </si>
  <si>
    <t>19 év 4 hó 19 nap</t>
  </si>
  <si>
    <t>31 év 4 hó 9 nap</t>
  </si>
  <si>
    <t>2015 01.05</t>
  </si>
  <si>
    <t>15 év 4 hó 1 nap</t>
  </si>
  <si>
    <t>28 év 4 hó 18 nap</t>
  </si>
  <si>
    <t>32 év 2 hó 27 nap</t>
  </si>
  <si>
    <t>35 év 2 hó</t>
  </si>
  <si>
    <t>21 év 6 hó</t>
  </si>
  <si>
    <t>4 év 4 hó 13 nap</t>
  </si>
  <si>
    <t>36 év 9 hó 17 nap</t>
  </si>
  <si>
    <t xml:space="preserve">22 év 11 hó </t>
  </si>
  <si>
    <t>36 év 11 hó 15 nap</t>
  </si>
  <si>
    <t>18 év 11 hó 20 nap</t>
  </si>
  <si>
    <t>30 év 2 hó 11 nap</t>
  </si>
  <si>
    <t>7 év 3 hó 23 nap</t>
  </si>
  <si>
    <t>év 5 hó 24 nap</t>
  </si>
  <si>
    <t>34 év 4 hó 7 nap</t>
  </si>
  <si>
    <t>31 év 3 hó 17 nap</t>
  </si>
  <si>
    <t>24 év 11 hó 7 nap</t>
  </si>
  <si>
    <t>27.év 9 hó 21 nap</t>
  </si>
  <si>
    <t>F/ 11</t>
  </si>
  <si>
    <t>F/ 13</t>
  </si>
  <si>
    <t>B / 12</t>
  </si>
  <si>
    <t>Pázmándi Andorné</t>
  </si>
  <si>
    <t>gyermek és ifjuság védelmi pótlék</t>
  </si>
  <si>
    <t>személyi iléletmény</t>
  </si>
  <si>
    <t>2006.01-03 HÓ</t>
  </si>
  <si>
    <t>Közalkalma- zotti jogviszony  2005.12.31</t>
  </si>
  <si>
    <t>Budainé Pázmándi Andrea</t>
  </si>
  <si>
    <t>Pázmándi Jánosné</t>
  </si>
  <si>
    <t>Pázmándiné Tóth Erika</t>
  </si>
  <si>
    <t>Tamás Józsefné</t>
  </si>
  <si>
    <t>85325-5 kistérség</t>
  </si>
  <si>
    <t>kiegészítés</t>
  </si>
  <si>
    <t>Trungel Józsefné</t>
  </si>
  <si>
    <t>Megnevezés</t>
  </si>
  <si>
    <t>Mutatószám</t>
  </si>
  <si>
    <t>Fajlagos érték</t>
  </si>
  <si>
    <t>összes támogatás</t>
  </si>
  <si>
    <t>állami támogatás</t>
  </si>
  <si>
    <t>Normatívan elosztott SZJA</t>
  </si>
  <si>
    <t>Lakott külterülettel kapcsolatos feladatok</t>
  </si>
  <si>
    <t xml:space="preserve">   alap támogatás</t>
  </si>
  <si>
    <t>Oktatási intézm. üzemeltetése</t>
  </si>
  <si>
    <t>Oktatási intézm üzemeltetése</t>
  </si>
  <si>
    <t>Önkormányzati hivatal</t>
  </si>
  <si>
    <t>Ezen a szakfeladaton kell tervezni a dolgozók, vendégek és a lakossági igénylők számára biztosított étkezés bevételeit és kiadásait</t>
  </si>
  <si>
    <t xml:space="preserve">          térítési dij norma +60% rezsi</t>
  </si>
  <si>
    <t xml:space="preserve">      napi 2 étkezést igénybe vevők</t>
  </si>
  <si>
    <t xml:space="preserve">              igénybevehető étkezési nap 01-02 hó</t>
  </si>
  <si>
    <t>Körjegyzőségre folyástól</t>
  </si>
  <si>
    <t>Elszámolás alapján Újtikostól társulás miatt</t>
  </si>
  <si>
    <t>2007-ról áthúzódó</t>
  </si>
  <si>
    <t>2008 évi pályázatokra</t>
  </si>
  <si>
    <t xml:space="preserve">        Önhiki egyéb Támogatás</t>
  </si>
  <si>
    <t xml:space="preserve">              igénybevehető étkezési nap 03-12 hó</t>
  </si>
  <si>
    <t>Kiszámlázott termékek szolgáltatások ÁFA</t>
  </si>
  <si>
    <t>ÁFA 25%</t>
  </si>
  <si>
    <t xml:space="preserve">     Bérleti dijak</t>
  </si>
  <si>
    <t>75184-5 szakfeladat összesen</t>
  </si>
  <si>
    <t>75186-7 Köztemető fenntartási feladatok</t>
  </si>
  <si>
    <t>85334-4</t>
  </si>
  <si>
    <t>85334-4 szakfeladat összesen</t>
  </si>
  <si>
    <t>munkahelyi étkezők által igénybe vevehető adag szám  ebéd</t>
  </si>
  <si>
    <t>Kihasználtsági mutató</t>
  </si>
  <si>
    <t>Munkahelyi étkezés ebéd</t>
  </si>
  <si>
    <t>Fejlesztési hitel törlesztés</t>
  </si>
  <si>
    <t xml:space="preserve">Kistérségnek járda , </t>
  </si>
  <si>
    <t>2008.évi előirányzat</t>
  </si>
  <si>
    <t>Ált iskolai oktatás</t>
  </si>
  <si>
    <t>Munkanélküli ellátások</t>
  </si>
  <si>
    <t>Eseti szociális ellátások</t>
  </si>
  <si>
    <t>Felhalmozási célú hitel törlesztés</t>
  </si>
  <si>
    <t>Ezen a szakfeladaton kell tervezni és elszámolni a köztemető fenntartásával kapcsolatos kiadásokat, és bevételeket.</t>
  </si>
  <si>
    <t xml:space="preserve">        Sírhely értékesítés</t>
  </si>
  <si>
    <t>75186-7 szakfeladat összesen</t>
  </si>
  <si>
    <t>13. Költségvetési cím összesen</t>
  </si>
  <si>
    <t xml:space="preserve">75175-7 Önkormányzati intézmények ellátó és kisegitő szolgálatai </t>
  </si>
  <si>
    <t xml:space="preserve">                 Közhasznú, Közcélú foglalkozatatás </t>
  </si>
  <si>
    <t>Szolgálati idő 2005.12.31.</t>
  </si>
  <si>
    <t xml:space="preserve">Tgyháza </t>
  </si>
  <si>
    <t>Felhalmozási célú pénzeszköz átadás államháztartáson kivülre</t>
  </si>
  <si>
    <t>Tgyháza Összesen</t>
  </si>
  <si>
    <t>Vezetői pótlék 300%, 100%</t>
  </si>
  <si>
    <t>Osztályfői pótlék 30%</t>
  </si>
  <si>
    <t>diákönk.vezetői pótlék 12%</t>
  </si>
  <si>
    <t>tanácsosi pótlék</t>
  </si>
  <si>
    <t>munkatársi pótlék</t>
  </si>
  <si>
    <t>pótlékok</t>
  </si>
  <si>
    <t xml:space="preserve">            támogatás Ft/fő</t>
  </si>
  <si>
    <t>Egyéb ktg térítés</t>
  </si>
  <si>
    <t>Nem rendszeres személyi juttatás összesen</t>
  </si>
  <si>
    <t>Készletbeszerzések</t>
  </si>
  <si>
    <t xml:space="preserve">Élelmiszer beszerzés </t>
  </si>
  <si>
    <t xml:space="preserve">          január - február étkezési napok száma</t>
  </si>
  <si>
    <t xml:space="preserve">          március december étkezési napok száma</t>
  </si>
  <si>
    <t>Település igazgatási kommunális és sport feladatok</t>
  </si>
  <si>
    <t>Körjegyzőségek működési támogatása</t>
  </si>
  <si>
    <t xml:space="preserve">Pénzbeli és természetbeni szociális ellátások támogatása </t>
  </si>
  <si>
    <t>Szociális és gyermekjóléti alap szolgáltatás</t>
  </si>
  <si>
    <t>Óvodai nevelés</t>
  </si>
  <si>
    <t>Általános iskolai oktatás</t>
  </si>
  <si>
    <t xml:space="preserve">            1-4 osztály</t>
  </si>
  <si>
    <t xml:space="preserve">            5-8 osztály</t>
  </si>
  <si>
    <t xml:space="preserve">     Ápolási dij</t>
  </si>
  <si>
    <t xml:space="preserve">    lakás fenntartási támogatás</t>
  </si>
  <si>
    <t>Napközis foglalkoztatás</t>
  </si>
  <si>
    <t>Kulturális sabadidős tevékenység támogatása</t>
  </si>
  <si>
    <t>Tanulói tankönyv támogatás</t>
  </si>
  <si>
    <t>Felzárkóztató oktatás</t>
  </si>
  <si>
    <t>Intézményi étkeztetés támogatása</t>
  </si>
  <si>
    <t>Bejáró tanulók</t>
  </si>
  <si>
    <t>Kis települések támogatása</t>
  </si>
  <si>
    <t>Közművelődési feladatok</t>
  </si>
  <si>
    <t xml:space="preserve">Pedagógus szakvizsga </t>
  </si>
  <si>
    <t xml:space="preserve">Pedagógus szakkönyvvásárlás </t>
  </si>
  <si>
    <t>Szakmai fejlesztés támogatása</t>
  </si>
  <si>
    <t>Pedagógiai szakszolgálat</t>
  </si>
  <si>
    <t>Diáksport támogatása</t>
  </si>
  <si>
    <t>Szociális juttatások támogatása</t>
  </si>
  <si>
    <t xml:space="preserve"> Átengedett SZJA </t>
  </si>
  <si>
    <t>Központi forrásból származó bevételek összesen</t>
  </si>
  <si>
    <t>Hozzájárulás a tömeg közlekedési feladatokhoz</t>
  </si>
  <si>
    <t xml:space="preserve">       február - december</t>
  </si>
  <si>
    <t xml:space="preserve">                5%-os  ÁFA</t>
  </si>
  <si>
    <t xml:space="preserve">             20 %-os  ÁFA</t>
  </si>
  <si>
    <t>Működési kiadások összesen</t>
  </si>
  <si>
    <t xml:space="preserve">Felhalmozási kiadások </t>
  </si>
  <si>
    <t>Iskola épület felújítás</t>
  </si>
  <si>
    <t>Felújítások összesen</t>
  </si>
  <si>
    <t>Felújítás</t>
  </si>
  <si>
    <t>Felújítások összesem</t>
  </si>
  <si>
    <t>Oktatási int üzemeltetése</t>
  </si>
  <si>
    <t>Molnár Mihályné</t>
  </si>
  <si>
    <t>Pintér Józsefné</t>
  </si>
  <si>
    <t>Török Józsefné</t>
  </si>
  <si>
    <t>Zöldi Attiláné</t>
  </si>
  <si>
    <t>Újtikos összesen</t>
  </si>
  <si>
    <t>F / 9</t>
  </si>
  <si>
    <t>F / 12</t>
  </si>
  <si>
    <t>Kovácsné Ország Judit</t>
  </si>
  <si>
    <t xml:space="preserve">80111-5 szakf. Össz. </t>
  </si>
  <si>
    <t>Órakedvezmények</t>
  </si>
  <si>
    <t>munka véd.pótlék</t>
  </si>
  <si>
    <t>munkaközösség vezetői pótlék</t>
  </si>
  <si>
    <t>Sajószöged</t>
  </si>
  <si>
    <t xml:space="preserve">iskolai étkeztetés </t>
  </si>
  <si>
    <t>munkahelyi étkeztetés</t>
  </si>
  <si>
    <t>Nem rendszeres személyi juttatások megoszt.</t>
  </si>
  <si>
    <t>Munkaadót terhelő járulékok megosztása</t>
  </si>
  <si>
    <t>Dologi kiadások megosztása</t>
  </si>
  <si>
    <t>Megosztott kiadások összesen</t>
  </si>
  <si>
    <t>Átengedett  Központi adók</t>
  </si>
  <si>
    <t>Egyéb sajátos bevételek</t>
  </si>
  <si>
    <t>Önkormányzatok sajátos mük. bev össz.</t>
  </si>
  <si>
    <t>Normatív állami tám</t>
  </si>
  <si>
    <t>Központosított előir</t>
  </si>
  <si>
    <t>ÖNHIKI</t>
  </si>
  <si>
    <t>Egyes jöv pótló tám kieg</t>
  </si>
  <si>
    <t>Közcélú foglalkoztat kieg</t>
  </si>
  <si>
    <t>Normatív kötött felh tám.össz</t>
  </si>
  <si>
    <t>CÉDE</t>
  </si>
  <si>
    <t>TEKI</t>
  </si>
  <si>
    <t>Önkormányzatok költségvetési támogatása</t>
  </si>
  <si>
    <t>Működési pénzmaradvany</t>
  </si>
  <si>
    <t>Felhalmozási pénzmaradvány</t>
  </si>
  <si>
    <t>Előző évi pénz maradvány</t>
  </si>
  <si>
    <t>Müködési hitel felv.</t>
  </si>
  <si>
    <t>Felhalmozási hitel felv</t>
  </si>
  <si>
    <t>Hitel felvétel összesen</t>
  </si>
  <si>
    <t>10 ktgvet.cím hivatal</t>
  </si>
  <si>
    <t>85123-1 kieg alap ellát</t>
  </si>
  <si>
    <t>Ezen a szakfeladaton kell tervezni a dolgozók, vendégek, és a lakosság  számára biztosított étkezés bevételeit és kiadásait</t>
  </si>
  <si>
    <t>55241-1 szakfeladat összesen</t>
  </si>
  <si>
    <t xml:space="preserve">A napköziotthonos óvodában lévő konyha látja el az óvodások általános iskolások, a  dolgozók, és a lakossági igénylők étkeztetését egyaránt. Az étkeztetéssel kapcsolatos kiadások negyedévente kerülnek felosztásra a tényleges igénybevétel alapján. </t>
  </si>
  <si>
    <t>Hozzájárulás helyi tömeg közl feladatokhoz</t>
  </si>
  <si>
    <t>Pénzbeli és természetbeni szociális és gyermekjóléti ellátások támogatása 3700-117050 Ft/fő.</t>
  </si>
  <si>
    <t>3.sz melléklet összesen</t>
  </si>
  <si>
    <t>SZJA helyben maradó</t>
  </si>
  <si>
    <t>SZJA kiegészítés</t>
  </si>
  <si>
    <t>SZJA összesen</t>
  </si>
  <si>
    <t>Központi támogatás összesen</t>
  </si>
  <si>
    <t xml:space="preserve">       1 havi külön juttatás</t>
  </si>
  <si>
    <t xml:space="preserve">     Bérleti és lizing dij ( világitás )</t>
  </si>
  <si>
    <t>75115-3</t>
  </si>
  <si>
    <t>Áthúzódó kötelezettség</t>
  </si>
  <si>
    <t xml:space="preserve">       Fogalkoztatott létszám fő 6 órás</t>
  </si>
  <si>
    <t xml:space="preserve">      támogatási idő hó</t>
  </si>
  <si>
    <t xml:space="preserve">  alapilletmény</t>
  </si>
  <si>
    <t xml:space="preserve">        Bér Ft/fő/hó</t>
  </si>
  <si>
    <t xml:space="preserve">        támogatási idő hó</t>
  </si>
  <si>
    <t xml:space="preserve">       Fogalkoztatott létszám fő 8 órás</t>
  </si>
  <si>
    <t>Közhasznú foglalkoztatás</t>
  </si>
  <si>
    <t xml:space="preserve">    Havi bérkiadás Ft/fő/hó</t>
  </si>
  <si>
    <t>2007 évre tervezett létszám</t>
  </si>
  <si>
    <t>2006.évi foglalkoztatás átlagos létszáma fő</t>
  </si>
  <si>
    <t xml:space="preserve">       Céde Támogatás Művház</t>
  </si>
  <si>
    <t>2007. Január 1-től</t>
  </si>
  <si>
    <t>garantált illetmény 2006.12.31.</t>
  </si>
  <si>
    <t>pótlékok 2006.12.31.</t>
  </si>
  <si>
    <t>F/12</t>
  </si>
  <si>
    <t>F/ 4</t>
  </si>
  <si>
    <t>Feladat egyenlege</t>
  </si>
  <si>
    <t>Étkeztetési feladatok</t>
  </si>
  <si>
    <t xml:space="preserve">Egészségügyi ellátás feladatai </t>
  </si>
  <si>
    <t>Könyvtár, közművelődés</t>
  </si>
  <si>
    <t xml:space="preserve">    Karbantartási és kisjavítási szolgáltatás</t>
  </si>
  <si>
    <t xml:space="preserve">                 kerítés javitás, festés</t>
  </si>
  <si>
    <t xml:space="preserve"> Szolgáltatások összesen</t>
  </si>
  <si>
    <t>75186-7 Szakfeladat összesen</t>
  </si>
  <si>
    <t>75187-8 Közvilágitási feladatok</t>
  </si>
  <si>
    <t>Ezen a szakfeladaton kell tervezni és elszámolni a közvilágitással kapcsolatos kiadásokat és bevételeket</t>
  </si>
  <si>
    <t xml:space="preserve">   Villamos energia szolgáltatás</t>
  </si>
  <si>
    <t xml:space="preserve">    Egyéb üzemeltetési szolg</t>
  </si>
  <si>
    <t xml:space="preserve">      Vásárolt term.szolg. ÁFA</t>
  </si>
  <si>
    <t>75187-8 Szakfeladat összesen</t>
  </si>
  <si>
    <t>90111-6 Szennyvíz elvezetés és kezelés</t>
  </si>
  <si>
    <t>Ezen a szakfeladaton kell  tervezni és elszámolni a településen keletkezett szennyvizek elvezetésével, tisztitásával összefüggésben felmerült bevételeket és kiadásokat</t>
  </si>
  <si>
    <t xml:space="preserve">  Egyéb üzemeltetési szolgáltatások</t>
  </si>
  <si>
    <t xml:space="preserve">     Polgár város gondnokságnak szennyviztiszt.</t>
  </si>
  <si>
    <t>90111-6 Szakfeladat összesen</t>
  </si>
  <si>
    <t>13.Költségvetési cím összesen</t>
  </si>
  <si>
    <t>Közhasznú foglalkoztatásra átvett pénzeszköz</t>
  </si>
  <si>
    <t xml:space="preserve">75175-7 szakfeladat összesen </t>
  </si>
  <si>
    <t>Müködésre átvett központi költségvetési szervtől</t>
  </si>
  <si>
    <t xml:space="preserve">              adótárgyak száma db</t>
  </si>
  <si>
    <t xml:space="preserve">              adó mértéke  Ft/db</t>
  </si>
  <si>
    <t>ÁFA bevétel visszatérités</t>
  </si>
  <si>
    <t>Áru értékesítés</t>
  </si>
  <si>
    <t>Szolgáltatás</t>
  </si>
  <si>
    <t>Válalkozási bevételek</t>
  </si>
  <si>
    <t>Befektetett pü eszközök kamata</t>
  </si>
  <si>
    <t>Egyéb államháztart. kiv szárm.kamat</t>
  </si>
  <si>
    <t>Kamat bevét államháztart.belülről</t>
  </si>
  <si>
    <t>Kamat bevételek</t>
  </si>
  <si>
    <t>Intézményi működési bevételek</t>
  </si>
  <si>
    <t>Felhalmozási bevételek</t>
  </si>
  <si>
    <t>Ingatlanok értékesítése</t>
  </si>
  <si>
    <t>Földterület értékesítés</t>
  </si>
  <si>
    <t>Tárgyi eszközök értékesítése</t>
  </si>
  <si>
    <t>Önkormányzatok sajátos felhalm. Bev.</t>
  </si>
  <si>
    <t>Osztalék</t>
  </si>
  <si>
    <t>egyéb pü befektetések bevételei</t>
  </si>
  <si>
    <t>Pü befektetétese bevételei</t>
  </si>
  <si>
    <t>Felhalmozási és tőke jellegű bev.</t>
  </si>
  <si>
    <t>Felhalmozásra átvett pénzeszk ÁHT-kivülről</t>
  </si>
  <si>
    <t>vállalkozók hozzájárulása falunaphoz</t>
  </si>
  <si>
    <t>Működési célra átvett pénzeszk ÁHT-kivülről</t>
  </si>
  <si>
    <t>Müködésre átvett központi ktgvet.szervtől</t>
  </si>
  <si>
    <t>Müködésre átvett önkormányzati ktgvet.szervtől</t>
  </si>
  <si>
    <t>Müködésre átvett TB alapoktól</t>
  </si>
  <si>
    <t>Működésre átvett fejezeti kezelésű előirányzatból</t>
  </si>
  <si>
    <t xml:space="preserve">        %-os EHÓ</t>
  </si>
  <si>
    <t>EHÓ</t>
  </si>
  <si>
    <t xml:space="preserve">            Könyv beszerzés</t>
  </si>
  <si>
    <t xml:space="preserve">            Folyóirat beszerzés</t>
  </si>
  <si>
    <t xml:space="preserve">            Egyéb információ hordozó</t>
  </si>
  <si>
    <t xml:space="preserve">            Szakmai anyag</t>
  </si>
  <si>
    <t xml:space="preserve">            Kisértékű tárgyi eszköz beszerzés</t>
  </si>
  <si>
    <t>egyéb közonti támogatás</t>
  </si>
  <si>
    <t>Támogatás értékű működési bevétel fejezeti kezelésű el.</t>
  </si>
  <si>
    <t>Támogatás értékű műk. Bevétel összesen</t>
  </si>
  <si>
    <t>megbízási díj  Építész</t>
  </si>
  <si>
    <t>szoc. Étk. Miatti visszafizetés:</t>
  </si>
  <si>
    <t>kamata:</t>
  </si>
  <si>
    <t>Kincstár összesen:</t>
  </si>
  <si>
    <t>nem adatátvitelű szolg díj</t>
  </si>
  <si>
    <t>irodaszer, nyomtatvány</t>
  </si>
  <si>
    <t>2008 évi pályázat I.</t>
  </si>
  <si>
    <t>Turinform működésre átadott kistérség</t>
  </si>
  <si>
    <t>Kistérségnek házi seg. Nyújtásra</t>
  </si>
  <si>
    <t>Kistérségnek tám szolg.-ra</t>
  </si>
  <si>
    <t>Kistérségnek nappali ell.ra</t>
  </si>
  <si>
    <t>Kistérségnek szoc. Ell.-ra</t>
  </si>
  <si>
    <t>Kistérségnek öszesen:</t>
  </si>
  <si>
    <t>Repi kiadás alapja</t>
  </si>
  <si>
    <t>Felhalmozásra átadott pénzeszközök ÁHT-n belülre</t>
  </si>
  <si>
    <t>Könyv beszerzés</t>
  </si>
  <si>
    <t>Folyóirat beszerzés</t>
  </si>
  <si>
    <t>Egyéb információ hordozó</t>
  </si>
  <si>
    <t xml:space="preserve">Szakmai anyag </t>
  </si>
  <si>
    <t>Kisértékű tárgyi eszköz</t>
  </si>
  <si>
    <t>Működésre átvett ÁHT-n belülről</t>
  </si>
  <si>
    <t>Intézmény finanszirozás</t>
  </si>
  <si>
    <t xml:space="preserve">            helyettesek ktgtérit</t>
  </si>
  <si>
    <t>gyermekjólétre  kistérségnek átadott pénzeszköz</t>
  </si>
  <si>
    <t>Kistérségnek átadott pénzeszköz</t>
  </si>
  <si>
    <t>85324-4</t>
  </si>
  <si>
    <t xml:space="preserve">        5%-os ÁFA</t>
  </si>
  <si>
    <t xml:space="preserve">      20 %-os ÁFA</t>
  </si>
  <si>
    <t>Helyi közművelődés támogatása</t>
  </si>
  <si>
    <t>Települési sport feladatok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</si>
  <si>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</si>
  <si>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</si>
  <si>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</si>
  <si>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</si>
  <si>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</si>
  <si>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</si>
  <si>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</si>
  <si>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</si>
  <si>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</si>
  <si>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</si>
  <si>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</si>
  <si>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</si>
  <si>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</si>
  <si>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kedvezményes étk aránya</t>
  </si>
  <si>
    <t>terv létszám</t>
  </si>
  <si>
    <t>100%-os térítés</t>
  </si>
  <si>
    <t>100 %-os térítés</t>
  </si>
  <si>
    <t>munkahelyi étkezők száma  ebéd fő</t>
  </si>
  <si>
    <t>egyedi határozattal megállapitott kedvezmény (75 % )</t>
  </si>
  <si>
    <t xml:space="preserve">        költségvetési törvény 4.sz.melléklet</t>
  </si>
  <si>
    <t xml:space="preserve">   Kiegészítés az adóerő képesség szerint</t>
  </si>
  <si>
    <t xml:space="preserve">         1 főre jutó SZJA Ft/fő</t>
  </si>
  <si>
    <t xml:space="preserve">          adóerő képesség Ft/fő</t>
  </si>
  <si>
    <t xml:space="preserve">         kiegészítésnél figyelembe veendő határ</t>
  </si>
  <si>
    <t xml:space="preserve">   Normatívan elosztott SZJA</t>
  </si>
  <si>
    <t>Általános tartalék</t>
  </si>
  <si>
    <t>Részletes számítások a 2 számú mellékleten</t>
  </si>
  <si>
    <t>tájékoztató adat</t>
  </si>
  <si>
    <t>Társ gazd szempontból elm tel.tám</t>
  </si>
  <si>
    <t>Személyi jövedelem adó  összesen</t>
  </si>
  <si>
    <t>Termőföld bérbeadásából származó SzJA</t>
  </si>
  <si>
    <t>Átengedett Központi adók összesen</t>
  </si>
  <si>
    <t>Felhalmozási és tőke jellegű bevételek</t>
  </si>
  <si>
    <t xml:space="preserve">         egyéb önkormányzati vagyon bevétele</t>
  </si>
  <si>
    <t xml:space="preserve">                      szennyvíz rákötési jog értékesítése</t>
  </si>
  <si>
    <t>Egyéb feltételtől függő pótlék.</t>
  </si>
  <si>
    <t>Egyéb juttatás</t>
  </si>
  <si>
    <t>Teljes munkaidőben foglalkozt.rendszeres szem jutat.</t>
  </si>
  <si>
    <t>részmunkaidősök rendsz szem juttat.</t>
  </si>
  <si>
    <t>jutalom</t>
  </si>
  <si>
    <t>túlóra,túlszolg</t>
  </si>
  <si>
    <t>készenlét,ügyelet, helyettesítés</t>
  </si>
  <si>
    <t>Egyéb munkavégzéshez kapcs,juttat.</t>
  </si>
  <si>
    <t>Teljes munkaidőben foglalkozt.munkavégz kapcs juttatás</t>
  </si>
  <si>
    <t>Részmunkaidősök munkavégzéshez kapcs juttat.</t>
  </si>
  <si>
    <t>Munkavégzéshez kapcs juttatások</t>
  </si>
  <si>
    <t>végkielégítés</t>
  </si>
  <si>
    <t>napidij</t>
  </si>
  <si>
    <t>biztosítási dijak</t>
  </si>
  <si>
    <t>egyéb sajátos juttatások</t>
  </si>
  <si>
    <t>Telj munkaidőben foglalk.sajátos juttatásai</t>
  </si>
  <si>
    <t>13.Ktgvet cím eü, szoc pol</t>
  </si>
  <si>
    <t>14 ktgvet cím étkeztetés</t>
  </si>
  <si>
    <t>15.ktgvet cím. Önk elsz.</t>
  </si>
  <si>
    <t>11. Költségvetési cím Oktatási intézmények üzemeltetése</t>
  </si>
  <si>
    <t>12.Költségvetési  cím Település üzemeltetés</t>
  </si>
  <si>
    <t>12. Költségvetési cím összesen</t>
  </si>
  <si>
    <t>13. Költségvetési cím: Egészségügy, Foglalkoztatás és szociálpolitikai feladatok</t>
  </si>
  <si>
    <t xml:space="preserve">2007.évi teljesített nettó bevétel </t>
  </si>
  <si>
    <t xml:space="preserve">15. Költségvetési cím Önkormányzat elszámolásai </t>
  </si>
  <si>
    <t>14. Költségvetési cím  étkeztetési feladatok</t>
  </si>
  <si>
    <t>Részmunkaidőben foglalk.sajátos juttatásai</t>
  </si>
  <si>
    <t>Foglalkoztatottak sajátos juttatásai</t>
  </si>
  <si>
    <t>közlekedési ktg térités</t>
  </si>
  <si>
    <t>Egyéb ktg térités</t>
  </si>
  <si>
    <t>Teljes munkaidőben fogalakozt.személyhez kapcs ktg téritései.</t>
  </si>
  <si>
    <t>Személyhez kapcsolódó ktg térités hozzájár.</t>
  </si>
  <si>
    <t>Teljes munkaidőben fogalakozt.szociális juttatásai</t>
  </si>
  <si>
    <t>Hónap</t>
  </si>
  <si>
    <t xml:space="preserve">aktiv korú nem foglalkoztatott </t>
  </si>
  <si>
    <t>kifizetett összes támogatás</t>
  </si>
  <si>
    <t>támogatási alap összeg</t>
  </si>
  <si>
    <t>teljesösszesgű támogatásban részesülők száma</t>
  </si>
  <si>
    <t>kifizetett teljes összegü támogatás</t>
  </si>
  <si>
    <t>részösszegű támogatás ideje nap</t>
  </si>
  <si>
    <t>kifizetett rész összegü támogatás</t>
  </si>
  <si>
    <t>teljesösszegű támogatásban részesülők száma</t>
  </si>
  <si>
    <t>átlag létszám</t>
  </si>
  <si>
    <t>tervezett</t>
  </si>
  <si>
    <t>Kifizetés hónapja</t>
  </si>
  <si>
    <t>teljes összegű támogatottak száma fő</t>
  </si>
  <si>
    <t>részösszegű támogatás támogatási nap</t>
  </si>
  <si>
    <t>Támogatási összeg Ft/fő/hó</t>
  </si>
  <si>
    <t>Kifizetett teljes összegű támogatás Ft</t>
  </si>
  <si>
    <t>Költségnem</t>
  </si>
  <si>
    <t>7.havi összesen</t>
  </si>
  <si>
    <t>8.havi összesen</t>
  </si>
  <si>
    <t>Mindösszesen</t>
  </si>
  <si>
    <t>Kiadás összesen</t>
  </si>
  <si>
    <t>Utalandó</t>
  </si>
  <si>
    <t>Oktatási normatívák 2/13 része julius agusztusban utalt</t>
  </si>
  <si>
    <t xml:space="preserve">Ezen a szakfeladaton kell tervezni és elszámolni azoknak a háziorvosi szolgálathoz kapcsolódó alaptevékenységgel összefüggő diagnosztikai és terápiás szolgáltatásoknak a bevételeit és kiadásait melyek biztosítása nem szakellátás keretében történik. Ezen a szakfeladaton tervezzük meg az ügyeletre, fizikoterápiára és labor működésre Polgárnak átadott pénzeszközt. </t>
  </si>
  <si>
    <t>Ezen a szakfeladaton kell tervezni és elszámolni a családsegítő-, és gyermekjóléti szolgálatok működésével kapcsolatos kiadásokat és bevételeket. A feladat ellátása polgárnak átadott pénzeszköz segítségével történik a kis térségi társulás magállapodása alapján.</t>
  </si>
  <si>
    <t xml:space="preserve">           tanulói bérlet támogatás</t>
  </si>
  <si>
    <t xml:space="preserve">          50% kedvezményben részesülők aránya</t>
  </si>
  <si>
    <t xml:space="preserve">            Iskola tej</t>
  </si>
  <si>
    <t>14.Költségvetési cím összesen</t>
  </si>
  <si>
    <t>Ezen a szakfeladaton kell tervezni és elszámolni a képviselők és polgármester tisztelet diját, megállapodás alapján a hivatal épületének müködési kiadásait. A hivatal munkájához szükséges beszerzések  szakkönyv,nyomtatvány stb.kiadásait.</t>
  </si>
  <si>
    <t>kistréségtől:</t>
  </si>
  <si>
    <t>Müködésre átadott pénzeszközök ÁHT belülre</t>
  </si>
  <si>
    <t xml:space="preserve">      Katasztrófavédelem támogatása</t>
  </si>
  <si>
    <t>Müködésre átadott pénzeszközök ÁHT kivülre</t>
  </si>
  <si>
    <t>Felhalmozásra átadott pénzeszközök ÁHT-n kívülre</t>
  </si>
  <si>
    <t>Állományba nem tartozók juttatásai</t>
  </si>
  <si>
    <t>Tartalékos állományuak juttat.</t>
  </si>
  <si>
    <t>Katonai és rendvéd.tanintézeti halgatók juttat.</t>
  </si>
  <si>
    <t>Sorkatonai, polgári  szolg.telj.,juttat</t>
  </si>
  <si>
    <t>Fegyveres erők állományába nem tart.juttat.</t>
  </si>
  <si>
    <t>TB járulék</t>
  </si>
  <si>
    <t>Munkáltatót terhelő Tp hozzájárulás</t>
  </si>
  <si>
    <t>Munkaadót terhelő járulék ÁHT-n kivülre</t>
  </si>
  <si>
    <t>Munkaadókat terhelő egyéb járulékok</t>
  </si>
  <si>
    <t>Munkaadókat terhelő  járulékok összesen</t>
  </si>
  <si>
    <t>Élelmiszer</t>
  </si>
  <si>
    <t>gyógyszer, vegyszer</t>
  </si>
  <si>
    <t>Irodaszer nyomtatvány</t>
  </si>
  <si>
    <t>Tüzelőanyag</t>
  </si>
  <si>
    <t>Hajtó és kenő anyagok</t>
  </si>
  <si>
    <t>Munka-, védőruha</t>
  </si>
  <si>
    <t>Egyéb készletek</t>
  </si>
  <si>
    <t>Működési bevételek</t>
  </si>
  <si>
    <t>Készlet beszerzés összesen</t>
  </si>
  <si>
    <t>Nem adatátviteli célú távközlés</t>
  </si>
  <si>
    <t>Adatátviteli célú távközlés</t>
  </si>
  <si>
    <t>Kommunikációs szolgáltatások összesen</t>
  </si>
  <si>
    <t>Vásárolt élelmezés</t>
  </si>
  <si>
    <t>Bérleti és lizing díjak</t>
  </si>
  <si>
    <t>Szállitási szolgáltatás</t>
  </si>
  <si>
    <t>Gázenergia szolgáltatás</t>
  </si>
  <si>
    <t>75175-7 Önkormányzati intézmények ellátó és kisegítő szolgálatai</t>
  </si>
  <si>
    <t>Gázenergia</t>
  </si>
  <si>
    <t>Villamos energia</t>
  </si>
  <si>
    <t>Viíz és csatorna</t>
  </si>
  <si>
    <t xml:space="preserve">egyéb üzemeltetési szolgáltatás </t>
  </si>
  <si>
    <t>Képviselők, alpolgármester juttatásai</t>
  </si>
  <si>
    <t>havi kiadás</t>
  </si>
  <si>
    <t>éves szinten</t>
  </si>
  <si>
    <t>Rendszeres személyi juttatás</t>
  </si>
  <si>
    <t>Nem rendszeres személyi juttatások</t>
  </si>
  <si>
    <t>Általános és Céltartalék</t>
  </si>
  <si>
    <t>Munkavégzéshez kapcsolódó juttatások</t>
  </si>
  <si>
    <t>Foglalkoztattottak sajátos juttatásai</t>
  </si>
  <si>
    <t>Személyhez kapcsolódó költségtéritések</t>
  </si>
  <si>
    <t>Ruházati ktg térités</t>
  </si>
  <si>
    <t>Üdülési hozzájárulás</t>
  </si>
  <si>
    <t>Közlekedési ktg térités</t>
  </si>
  <si>
    <t>Étkezési hozzájárulás</t>
  </si>
  <si>
    <t xml:space="preserve">    foglalkoztatott létszám fő</t>
  </si>
  <si>
    <t>Személyhez kapcsolódó költségtérítések</t>
  </si>
  <si>
    <t>Személyi juttatás összesen</t>
  </si>
  <si>
    <t>Munkaadót terhelő járulékok</t>
  </si>
  <si>
    <t>járulék alap</t>
  </si>
  <si>
    <t>Járulék 3%</t>
  </si>
  <si>
    <t>Munkaadói járulék</t>
  </si>
  <si>
    <t xml:space="preserve">    Foglalkoztatható létszám fő/11 hó</t>
  </si>
  <si>
    <t xml:space="preserve">    tervezett  létszám</t>
  </si>
  <si>
    <t>75175-7 Szakfeladat összesen</t>
  </si>
  <si>
    <t>Ezen a szakfeladaton kell tervezni és elszámolni a község üzemeltetéssel kapcsolatos más szakfeladatokhoz nem köthető kiadásokat.A közhasznú fogalalkoztatással kapcsolatban a pályázatban nem szerepeltethető kiadásokat  (szerszám munkaruha stb )</t>
  </si>
  <si>
    <t>85123-1 Kiegészítő alapellátási szolgáltatások</t>
  </si>
  <si>
    <t>egyéb központi támogatás</t>
  </si>
  <si>
    <t>Működésre átadott ÁHT-n belűlre</t>
  </si>
  <si>
    <t>85123-1 Szakfeladat összesen</t>
  </si>
  <si>
    <t>85129-7 Védőnői szolgálat</t>
  </si>
  <si>
    <t>Ezen a szakfeladaton kell tervezni és elszámolni a védőnők tevékenységével kapcsolatos kiadásokat és bevételeket</t>
  </si>
  <si>
    <t xml:space="preserve">    Közalkalmazottak alapilletménye</t>
  </si>
  <si>
    <t xml:space="preserve">    alapilletmény összesen</t>
  </si>
  <si>
    <t xml:space="preserve">    Közalkalmazottak  nem kötelező pótléka</t>
  </si>
  <si>
    <t xml:space="preserve">      Közlekedési ktg térités</t>
  </si>
  <si>
    <t xml:space="preserve">     étkezési utalvány  fő/hó</t>
  </si>
  <si>
    <t>Gyógyszer vegyszer beszerzés</t>
  </si>
  <si>
    <t xml:space="preserve">      labor vizsgálatokhoz reagensek, kálilug stb</t>
  </si>
  <si>
    <t>Munka-, védőruha  ( munka köppeny )</t>
  </si>
  <si>
    <t xml:space="preserve">Nem adatátviteli távközlés </t>
  </si>
  <si>
    <t>egyéb üzemeltetési szolgáltatás</t>
  </si>
  <si>
    <t>85129-7 szakfeladat összesen</t>
  </si>
  <si>
    <t xml:space="preserve">      Iparűzési adó</t>
  </si>
  <si>
    <t xml:space="preserve">        helyben képződött SZJA 8%</t>
  </si>
  <si>
    <t>Munkaadókat terhelő járulékok össz.</t>
  </si>
  <si>
    <t>ÁFA kiadás</t>
  </si>
  <si>
    <t>Kiküldetés,reprezentció</t>
  </si>
  <si>
    <t>Különféle költségvetési befizetések</t>
  </si>
  <si>
    <t>Adók,dijak,befizetések</t>
  </si>
  <si>
    <t>Kamatkiadások</t>
  </si>
  <si>
    <t>Müködési célra átadott pénzeszköz államháztartáson kivülre</t>
  </si>
  <si>
    <t>Müködési célra átadott pénzeszköz államháztartáson belülre</t>
  </si>
  <si>
    <t>Müködési célú pénzeszköz átadás össz.</t>
  </si>
  <si>
    <t>Társadalom és szociálpolitikai juttatás</t>
  </si>
  <si>
    <t>Pénzesszköz átadás és egyéb tám.</t>
  </si>
  <si>
    <t>Ingatlanok felújítása</t>
  </si>
  <si>
    <t>Felújítási kiadások ÁFA</t>
  </si>
  <si>
    <t>Felújítási kiadások összesen</t>
  </si>
  <si>
    <t>Intézményi beruházási kiadások</t>
  </si>
  <si>
    <t>Ápolási dij összesen</t>
  </si>
  <si>
    <t xml:space="preserve">Lakás fenntartási támogatás </t>
  </si>
  <si>
    <t>Önkormányzat által folyósitott ellátások össz</t>
  </si>
  <si>
    <t xml:space="preserve">      Termőföld bérbeadásából származó SZJA</t>
  </si>
  <si>
    <t>Átengedett központi adók összesen</t>
  </si>
  <si>
    <t>Önkormányz. sajátos müköd. bevét. össz.</t>
  </si>
  <si>
    <t xml:space="preserve">Személyi juttatások </t>
  </si>
  <si>
    <t xml:space="preserve">Munkaadókat terhelő járulékok </t>
  </si>
  <si>
    <t>Dologi jellegü kiadások</t>
  </si>
  <si>
    <t>Hitelek, pénzforgalom nélküli kiadások</t>
  </si>
  <si>
    <t>létszámkeret</t>
  </si>
  <si>
    <t>Település üzemeltet.</t>
  </si>
  <si>
    <t>Foglalk.szoc.pol.fel.</t>
  </si>
  <si>
    <t>Intézményi étkez.</t>
  </si>
  <si>
    <t>Önk.elsz.egyéb felad.</t>
  </si>
  <si>
    <t>előirányzat</t>
  </si>
  <si>
    <t>Önkorm összesen</t>
  </si>
  <si>
    <t>Müködési célú pénzeszköz átvétel összesen</t>
  </si>
  <si>
    <t>Felhalmozási célra átvett pénzeszk.államháztartáson kivülről</t>
  </si>
  <si>
    <t>pótlék alap</t>
  </si>
  <si>
    <t>Bizottságok nem képviselő tagjai</t>
  </si>
  <si>
    <t xml:space="preserve">              bizottságok nem képviselő tagjai </t>
  </si>
  <si>
    <t xml:space="preserve">              létszám fő</t>
  </si>
  <si>
    <t xml:space="preserve">              havi tiszteletdij Ft/fő/ hó</t>
  </si>
  <si>
    <t xml:space="preserve">              tiszteletdíj</t>
  </si>
  <si>
    <t>Külső személyi juttatás</t>
  </si>
  <si>
    <t xml:space="preserve"> Készlet beszerzések</t>
  </si>
  <si>
    <t xml:space="preserve">            Irodaszer nyomtatvány</t>
  </si>
  <si>
    <t xml:space="preserve">            Hajtó és kenőanyag</t>
  </si>
  <si>
    <t>18.</t>
  </si>
  <si>
    <t>Tartalékok</t>
  </si>
  <si>
    <t>19.</t>
  </si>
  <si>
    <t>Müködési kiadások összesen</t>
  </si>
  <si>
    <t>Felhalmozási célú bevételek és kiadások</t>
  </si>
  <si>
    <t>21.</t>
  </si>
  <si>
    <t>Magánszemélyek kommunális adója</t>
  </si>
  <si>
    <t>22.</t>
  </si>
  <si>
    <t>Felhalmozási célú ktgvet támogatás</t>
  </si>
  <si>
    <t>23.</t>
  </si>
  <si>
    <t>Sorsz.</t>
  </si>
  <si>
    <t>Bevételi jogcím</t>
  </si>
  <si>
    <t>Kedvezmény nélkül elérhető bevétel</t>
  </si>
  <si>
    <t>Kedvezmény érvényesítésével elérhető bevétel</t>
  </si>
  <si>
    <t>Mentesség összege</t>
  </si>
  <si>
    <t>Magánszem. kommunális adója</t>
  </si>
  <si>
    <t>Indokolás az önkormányzat által adott közvetett támogatásokhoz:</t>
  </si>
  <si>
    <t>Tiszagyulaháza Község Önkormányzata helyi adókról szóló 12/2003. (XII. 18.) számú rendeletének 3. § (1) bekezdése alapján mentes az adó alól, az egyedülálló, 70. életévét betöltött magánszemély az életkor betöltését követő év 1. napjától.</t>
  </si>
  <si>
    <t xml:space="preserve">A 2007. évi adatok alapján a kedvezményben részesülők száma: 61 fő. </t>
  </si>
  <si>
    <t>Felhalmozási célra átvett pénzeszköz</t>
  </si>
  <si>
    <t>Felhalmozási célra átvett pénzeszk.államháztartáson belülről</t>
  </si>
  <si>
    <t>ingyenesen étkező</t>
  </si>
  <si>
    <t>Felhalmozási célú pénzeszköz átvétel összesen</t>
  </si>
  <si>
    <t>Támogatások kiegészítések átvett pénzeszk.ö.</t>
  </si>
  <si>
    <t>Pénzforgalom nélküli bevételek</t>
  </si>
  <si>
    <t>Hitelek, pénzforgalom nélküli  bev.összesen 5</t>
  </si>
  <si>
    <t xml:space="preserve"> ebből önkormányzaton belüli finanszírozás</t>
  </si>
  <si>
    <t>Önkormányzat összesen</t>
  </si>
  <si>
    <t xml:space="preserve">Bevételek összesen </t>
  </si>
  <si>
    <t xml:space="preserve">      Átengedett egyéb központi adók</t>
  </si>
  <si>
    <t>Cím</t>
  </si>
  <si>
    <t>Előirányzatok</t>
  </si>
  <si>
    <t>neve</t>
  </si>
  <si>
    <t>Müködési</t>
  </si>
  <si>
    <t>Tmogatás értékű működési bevételek</t>
  </si>
  <si>
    <t xml:space="preserve">FelhAHmozási </t>
  </si>
  <si>
    <t>TársadAHom biztosítási járulék</t>
  </si>
  <si>
    <t>Felügyelet AHá tartozó költségvetési szervnek folyósított támogatás</t>
  </si>
  <si>
    <t>FelhAHmozási célú pénzeszköz átadás államháztartáson belülre</t>
  </si>
  <si>
    <t>FelhAHmozási célú pénzeszköz átadás össz.</t>
  </si>
  <si>
    <t>TársadAHom és szociálpolitikai juttatás</t>
  </si>
  <si>
    <t>FelhAHmozási hitel visszafizetés</t>
  </si>
  <si>
    <t>Működési tartAHék</t>
  </si>
  <si>
    <t>FelhAHmozási tartAHék</t>
  </si>
  <si>
    <t>PénzforgAHom nélküli kiadások</t>
  </si>
  <si>
    <t>Összes bevétel</t>
  </si>
  <si>
    <t xml:space="preserve">Intézmények müködési  bevételei </t>
  </si>
  <si>
    <t xml:space="preserve">Önkormányz. sajátos müköd. bevét. </t>
  </si>
  <si>
    <t xml:space="preserve">Felhalmozási és tőke jellegű bevételek </t>
  </si>
  <si>
    <t xml:space="preserve">Támogatások kiegészítések átvett pénzeszközök  </t>
  </si>
  <si>
    <t xml:space="preserve">Hitelek, pénzforgalom nélküli, függö bev. </t>
  </si>
  <si>
    <t>Tel.üzemelt.fel.</t>
  </si>
  <si>
    <t>Int.étkeztetés.</t>
  </si>
  <si>
    <t xml:space="preserve"> összesen</t>
  </si>
  <si>
    <t>Önkorm. hiv.</t>
  </si>
  <si>
    <t>Önk.elsz.egyéb feladatok</t>
  </si>
  <si>
    <t>Fogl.szoc.pol feladatok.</t>
  </si>
  <si>
    <t>Belföldi kiküldetés</t>
  </si>
  <si>
    <t>Egyéb dologi kiadások</t>
  </si>
  <si>
    <t>Dologi kiadások összesen</t>
  </si>
  <si>
    <t>Egyéb folyó kiadások</t>
  </si>
  <si>
    <t>Egyéb folyó kiadások összesen</t>
  </si>
  <si>
    <t>75115-3 szakfeladat összesen</t>
  </si>
  <si>
    <t>működési hitel tőke törlesztés</t>
  </si>
  <si>
    <t xml:space="preserve">Ezen a szakfeladaton kell tervezni és elszámolni a körjegyzőségi hivatal köztisztviselőinek személyi juttatásait. A hivatal müködéséhez szükséges dologi kiadásokat és a szakmai tevékenység érdekében igénybe vett szolgáltatásokat és beszerzéseket. </t>
  </si>
  <si>
    <t>Az önkormányzatok megállapodása alapján a hivatal épületének fenntartási kiadásai, a felmerült telefon és posta költség az önkormányzati költségvetést terheli</t>
  </si>
  <si>
    <t>illetmények részletezése a 10.számú mellékleten.</t>
  </si>
  <si>
    <t>Köztisztviselők alapilletménye</t>
  </si>
  <si>
    <t xml:space="preserve">    alapilletmény</t>
  </si>
  <si>
    <t>alapilletmény összesen</t>
  </si>
  <si>
    <t>Egyéb kötelező pótlékok</t>
  </si>
  <si>
    <t xml:space="preserve">      vezetői pótlék</t>
  </si>
  <si>
    <t xml:space="preserve">       körjegyzői pótlék</t>
  </si>
  <si>
    <t>Egyéb kötelező pótlékok összesen</t>
  </si>
  <si>
    <t xml:space="preserve">    önkormányzati illetmény alap</t>
  </si>
  <si>
    <t xml:space="preserve">    munkaruha juttatás összege illetm a 200%</t>
  </si>
  <si>
    <t xml:space="preserve">    köztisztv létszám  fő</t>
  </si>
  <si>
    <t xml:space="preserve">     étkezési hozzájárulás  fő/hó</t>
  </si>
  <si>
    <t>községek között megosztandó</t>
  </si>
  <si>
    <t>fő</t>
  </si>
  <si>
    <t>megosztás</t>
  </si>
  <si>
    <t>Folyás</t>
  </si>
  <si>
    <t>kiadások megosztása</t>
  </si>
  <si>
    <t>Ezer forintban</t>
  </si>
  <si>
    <t>2008 január</t>
  </si>
  <si>
    <t>2007. Decemberi illetmény</t>
  </si>
  <si>
    <t>ingyenesen étkezők</t>
  </si>
  <si>
    <t xml:space="preserve">            támogatás Ft/fő/év</t>
  </si>
  <si>
    <t>Szállítási szolg</t>
  </si>
  <si>
    <t>80111-5 szakfeladat</t>
  </si>
  <si>
    <t xml:space="preserve">óradij számitás alapja </t>
  </si>
  <si>
    <t>kötelező óraszám</t>
  </si>
  <si>
    <t>osztó szám</t>
  </si>
  <si>
    <t>óradij</t>
  </si>
  <si>
    <t>Dologi kiadás</t>
  </si>
  <si>
    <t>Felhalmozási kiadások</t>
  </si>
  <si>
    <t>Bevételek</t>
  </si>
  <si>
    <t>Bevételek összesen</t>
  </si>
  <si>
    <t>havi összeg</t>
  </si>
  <si>
    <t>Tgyháza</t>
  </si>
  <si>
    <t>összesen</t>
  </si>
  <si>
    <t>1 havi különjuttatás</t>
  </si>
  <si>
    <t>Külső személyi juttatások</t>
  </si>
  <si>
    <t>Külső személyi juttatások összesen</t>
  </si>
  <si>
    <t>besorolás</t>
  </si>
  <si>
    <t>garantált illetmény</t>
  </si>
  <si>
    <t>szorzó</t>
  </si>
  <si>
    <t>besorolás szerinti alapilletmény</t>
  </si>
  <si>
    <t>ill növ.szakkép.</t>
  </si>
  <si>
    <t>Ezen a szakfeladaton kell tervezni és elszámolni a szociális rendeletben eseti folyósításra megállapított támogatásokat, itt kell figyelembe venni a közgyógyellátási igazolványok térítését, a mozgáskorlátozottak közlekedési támogatását, a szociális kölcsön folyósítható összegét.</t>
  </si>
  <si>
    <t>Rászorultságtól függő  pénbeli ellátások</t>
  </si>
  <si>
    <t xml:space="preserve">      Eseti szociális segélyek</t>
  </si>
  <si>
    <t xml:space="preserve">           átmeneti segély</t>
  </si>
  <si>
    <t xml:space="preserve">           temetési segély</t>
  </si>
  <si>
    <t xml:space="preserve">           tankönyv támogatás</t>
  </si>
  <si>
    <t xml:space="preserve">sorszám </t>
  </si>
  <si>
    <t>megnevezés</t>
  </si>
  <si>
    <t>Működési célú bevételek és kiadások</t>
  </si>
  <si>
    <t>Intézmények müködési bevételei</t>
  </si>
  <si>
    <t>2.</t>
  </si>
  <si>
    <t>Önkormányzatok sajátos müködési bevételei</t>
  </si>
  <si>
    <t>3.</t>
  </si>
  <si>
    <t>5.</t>
  </si>
  <si>
    <t>6.</t>
  </si>
  <si>
    <t>1 havi külön juttatás</t>
  </si>
  <si>
    <t>26 év 2 hó 12 nap</t>
  </si>
  <si>
    <t xml:space="preserve"> Rendszeres személyi juttatások.</t>
  </si>
  <si>
    <t xml:space="preserve">        januári kiadás</t>
  </si>
  <si>
    <t xml:space="preserve">        február - december</t>
  </si>
  <si>
    <t xml:space="preserve">          alapilletmények összesen</t>
  </si>
  <si>
    <t>F / 3</t>
  </si>
  <si>
    <t>801214 szakf. összesen</t>
  </si>
  <si>
    <t>Nagy Zoltánné</t>
  </si>
  <si>
    <t>Újtikos</t>
  </si>
  <si>
    <t>Szabó Sándorné</t>
  </si>
  <si>
    <t>85129- szakf összesen</t>
  </si>
  <si>
    <t>Bereczki Lászlóné</t>
  </si>
  <si>
    <t>Czaga Imréné</t>
  </si>
  <si>
    <t>Hegyiné Kókai Ilona</t>
  </si>
  <si>
    <t>Lénárt Lászlóné</t>
  </si>
  <si>
    <t>Konyha összesen</t>
  </si>
  <si>
    <t>D / 6</t>
  </si>
  <si>
    <t>F / 2</t>
  </si>
  <si>
    <t>Tóth Gyuláné</t>
  </si>
  <si>
    <t>Garantált illetmény kerekítve</t>
  </si>
  <si>
    <t>pótlékok 2004.12.31.</t>
  </si>
  <si>
    <t>Beruházások ÁFA összesen</t>
  </si>
  <si>
    <t>Részvények vásárlása</t>
  </si>
  <si>
    <t>Kárpótlási jegyek vásárlása</t>
  </si>
  <si>
    <t>Egyéb pénzügyi befektetések</t>
  </si>
  <si>
    <t>Pénzügyi befektetések kiadásai</t>
  </si>
  <si>
    <t>Felhalmozási kiadások pénzügyi befektetések kiadásai</t>
  </si>
  <si>
    <t>Müködési hitel, kölcsön visszafizetés</t>
  </si>
  <si>
    <t>Felhalmozási hitel kölcsön visszafizetés</t>
  </si>
  <si>
    <t>Hitelek kiadásai</t>
  </si>
  <si>
    <t>Működési tartalék</t>
  </si>
  <si>
    <t xml:space="preserve">              várható létszám</t>
  </si>
  <si>
    <t xml:space="preserve">              várható kihasználtsági mutató</t>
  </si>
  <si>
    <t xml:space="preserve">Ezen a szakfeladaton kell tervezni és elszámolni az önkormányzati hivatal, a képviselő-testület  működésével kapcsolatos kiadásokat és bevételeket. </t>
  </si>
  <si>
    <t>Müködésre átvett államháztartáson kívülről</t>
  </si>
  <si>
    <t xml:space="preserve">      vállakozók hozzájárulása falunaphoz</t>
  </si>
  <si>
    <t>Müködésre átvett államháztartáson belülről</t>
  </si>
  <si>
    <t>Felhalmozásra átvett államháztartáson kívülről</t>
  </si>
  <si>
    <t>Osztalék és hozam bevétel</t>
  </si>
  <si>
    <t>Felhalmozási hitel felvétel</t>
  </si>
  <si>
    <t>10. Költségvetési cím összesen</t>
  </si>
  <si>
    <t>Müködésre átvett pénzeszk.elkül.állami pénzalaptól</t>
  </si>
  <si>
    <t>11. Költségvetési cím összesen</t>
  </si>
  <si>
    <t>75184-5 Város- és község gazdálkodási feladatok</t>
  </si>
  <si>
    <t>Ezen a szakfeladaton kell tervezni és elszámolni a község üzemeltetéssel kapcsolatos más szakfeladatokhoz nem köthető kiadásokat, és bevételeket.</t>
  </si>
  <si>
    <t>Teljesítménymutató: -</t>
  </si>
  <si>
    <t>Helyiségek eszközök bérleti díja:</t>
  </si>
  <si>
    <t xml:space="preserve">              közterület használat</t>
  </si>
  <si>
    <t>Felhalmozási célra átadott pénzeszk. ÁHT-n belülre</t>
  </si>
  <si>
    <t>Családi támogatások</t>
  </si>
  <si>
    <t>Közp.ktgvet által folyósított egyéb tám.</t>
  </si>
  <si>
    <t>Rendszeres gyermekvédelmi támogatás</t>
  </si>
  <si>
    <t>Rendszeres szoc segély tartós munkanélküli</t>
  </si>
  <si>
    <t>Rendszeres szoc segély egyéb jogcímen</t>
  </si>
  <si>
    <t>Időskoruak járadéka</t>
  </si>
  <si>
    <t>Ápolási dij alanyi jogon</t>
  </si>
  <si>
    <t>Ápolási dij méltányossági</t>
  </si>
  <si>
    <t>Lakás fenntartási támogatás</t>
  </si>
  <si>
    <t>Átmeneti segélyek</t>
  </si>
  <si>
    <t>köztemetés</t>
  </si>
  <si>
    <t>Közgyógy ellátás</t>
  </si>
  <si>
    <t>Természetben nyujtott egyéb ellátás</t>
  </si>
  <si>
    <t>Önkormányzatok által folyósított ellátások</t>
  </si>
  <si>
    <t>Pénzbeli kártérit egyéb pénzbeli juttat</t>
  </si>
  <si>
    <t>Társadalom és szoc pol juttatások összesen</t>
  </si>
  <si>
    <t>Pénzeszköz átadás és egyéb támogatás</t>
  </si>
  <si>
    <t>Felujítások összesen</t>
  </si>
  <si>
    <t>Felujitások ÁFA összesen</t>
  </si>
  <si>
    <t>Beruházások összesen</t>
  </si>
  <si>
    <t xml:space="preserve">     Gázenergia szolgáltatás</t>
  </si>
  <si>
    <t xml:space="preserve">     Villamos energia szolgáltatás</t>
  </si>
  <si>
    <t xml:space="preserve">     Víz és csatorna dijak</t>
  </si>
  <si>
    <t xml:space="preserve">     Karbantartási kis javitási szolgáltatás</t>
  </si>
  <si>
    <t xml:space="preserve">     Egyéb üzemeltetési fenntartási szolg.</t>
  </si>
  <si>
    <t xml:space="preserve">     Vásárolt termékek szolg. ÁFA</t>
  </si>
  <si>
    <t xml:space="preserve">      </t>
  </si>
  <si>
    <t>eredeti</t>
  </si>
  <si>
    <t xml:space="preserve">módosított </t>
  </si>
  <si>
    <t>teljesítés</t>
  </si>
  <si>
    <t>Működésre átadott</t>
  </si>
  <si>
    <t>Alapitványok támogatása</t>
  </si>
  <si>
    <t>Területfejlesztési KHT</t>
  </si>
  <si>
    <t>Államháztartáson kivűlre átadott össz.</t>
  </si>
  <si>
    <t>21.űrlap 22 sor</t>
  </si>
  <si>
    <t>Polgár eü ellátás</t>
  </si>
  <si>
    <t>Polgár gyermekjóléti szolg</t>
  </si>
  <si>
    <t>HBM-i Könyvtár</t>
  </si>
  <si>
    <t>Polgár kistérségi társulás</t>
  </si>
  <si>
    <t>Katasztrófa védelem támogatása</t>
  </si>
  <si>
    <t>Államháztartáson belülre átadott</t>
  </si>
  <si>
    <t>21 űrlap 29. Sor</t>
  </si>
  <si>
    <t>Felhalmozásra átadott</t>
  </si>
  <si>
    <t>Államháztartáson kívülre átadott</t>
  </si>
  <si>
    <t>21.űrlap 47 sor</t>
  </si>
  <si>
    <t xml:space="preserve">Működésre átvett </t>
  </si>
  <si>
    <t>Államháztartáson kívülről átvett</t>
  </si>
  <si>
    <t>22.űrlap 21 sor</t>
  </si>
  <si>
    <t>Mozgáskorlátozottak közl.tám</t>
  </si>
  <si>
    <t>80111-5 Tgyháza</t>
  </si>
  <si>
    <t>80111-5 Ujtikos</t>
  </si>
  <si>
    <t>Részmunkaidőben foglalkozt.személyhez kapcs ktg téritései.</t>
  </si>
  <si>
    <t>illetmények részletezése a 9.számú mellékleten</t>
  </si>
  <si>
    <t>63121-1 Helyi utak üzemeltetése</t>
  </si>
  <si>
    <t>Természetben nyujtott egyéb ellátások</t>
  </si>
  <si>
    <t>Az étkeztetési szakfeladatok kiadásai az általános kiadások megosztásából származnak a tervezett illetve a tényleges igénybevétel alapján.</t>
  </si>
  <si>
    <t>megosztott rendszeres személyi juttatás</t>
  </si>
  <si>
    <t>megosztott nem rendszeres személyi juttatás</t>
  </si>
  <si>
    <t>megosztott munkaadót terhelő járulék</t>
  </si>
  <si>
    <t>megosztott dologi kiadás</t>
  </si>
  <si>
    <t>55231-2 szakfeladat összesen</t>
  </si>
  <si>
    <t>55232-3 szakfeladat összesen</t>
  </si>
  <si>
    <t>Költségvetési cím összesen</t>
  </si>
  <si>
    <t>624 Konyha általános kiadásai</t>
  </si>
  <si>
    <t>Tervezésnél a kiadás felosztás alapja  az igénybe vehető nyersanyag norma.</t>
  </si>
  <si>
    <t>Rendszeres személyi juttatások.</t>
  </si>
  <si>
    <t>Közalakalmazottak alapilletménye:</t>
  </si>
  <si>
    <t>Közalkalmazottak alapilletménye összesen</t>
  </si>
  <si>
    <t>Rendszeres személyi juttatás összesen</t>
  </si>
  <si>
    <t xml:space="preserve">    jubileumi jutalom</t>
  </si>
  <si>
    <t>Személyhez kapcsolódó ktgtérités hozzájárulás</t>
  </si>
  <si>
    <t xml:space="preserve"> Természetben nyujtott étkeztetés</t>
  </si>
  <si>
    <t>Foglalkoztatási alaptól közhasznú foglalkoztatásra</t>
  </si>
  <si>
    <t>Államháztartáson belülről átvett</t>
  </si>
  <si>
    <t>22.űrlap 28 sor</t>
  </si>
  <si>
    <t>KMB üzemanyag támogatás</t>
  </si>
  <si>
    <t>Folyás önkorányzattól körjegyzőségre</t>
  </si>
  <si>
    <t xml:space="preserve">TB védőnői szolg </t>
  </si>
  <si>
    <t xml:space="preserve">   Biztosítási dij</t>
  </si>
  <si>
    <t xml:space="preserve">   Bank ktg</t>
  </si>
  <si>
    <t xml:space="preserve">  Hortobágyment vizgazd társ.</t>
  </si>
  <si>
    <t xml:space="preserve">Kamat kiadások </t>
  </si>
  <si>
    <t>10.Költségvetési cím összesen</t>
  </si>
  <si>
    <t xml:space="preserve">           Működési tartalék kötelezően tervezendő</t>
  </si>
  <si>
    <t xml:space="preserve"> Személyi jutatások részletezés a 8.számú mellékleten</t>
  </si>
  <si>
    <t xml:space="preserve">név </t>
  </si>
  <si>
    <t>tisztség</t>
  </si>
  <si>
    <t>Költségtérítési általány</t>
  </si>
  <si>
    <t xml:space="preserve">         20%-os ÁFA</t>
  </si>
  <si>
    <t>polgármester</t>
  </si>
  <si>
    <t xml:space="preserve">          Kihasználtsági mutató:%</t>
  </si>
  <si>
    <t xml:space="preserve">          élélemezési anyag norma</t>
  </si>
  <si>
    <t>2007. évi szociális étkezést igénybevevők száma</t>
  </si>
  <si>
    <t xml:space="preserve">          január - február Ft/fő/nap</t>
  </si>
  <si>
    <t xml:space="preserve">          március december Ft/fő/nap</t>
  </si>
  <si>
    <t>Óvoda összesen</t>
  </si>
  <si>
    <t xml:space="preserve">     összesen</t>
  </si>
  <si>
    <t xml:space="preserve">        összesen</t>
  </si>
  <si>
    <t xml:space="preserve">           napi élelmezési anyagnorma:</t>
  </si>
  <si>
    <t xml:space="preserve">           január - február Ft/fő/nap</t>
  </si>
  <si>
    <t xml:space="preserve">           március december Ft/fő/nap</t>
  </si>
  <si>
    <t>Élelmiszer beszerzés összesen</t>
  </si>
  <si>
    <t>Készletbeszerzések összesen</t>
  </si>
  <si>
    <t xml:space="preserve">Karbantartási szolgáltatás </t>
  </si>
  <si>
    <t>Igénybe vett közszolgáltatások tovább képzés</t>
  </si>
  <si>
    <t xml:space="preserve"> Általános forgalmi adó</t>
  </si>
  <si>
    <t>ÁFA Alap</t>
  </si>
  <si>
    <t xml:space="preserve">       Belföldi kiküldetés</t>
  </si>
  <si>
    <t>624 Konyha általános kiadásai összesen</t>
  </si>
  <si>
    <t>Kiadások megosztása:</t>
  </si>
  <si>
    <t>Bartháné Csuhai Ilona</t>
  </si>
  <si>
    <t>Beránszki Lászlóné</t>
  </si>
  <si>
    <t>Bolgár Károly</t>
  </si>
  <si>
    <t>Kovács Józsefné</t>
  </si>
  <si>
    <t>Mizsák Fatime</t>
  </si>
  <si>
    <t xml:space="preserve">      Ujtikosnak Intézményfenntartó társulásra</t>
  </si>
  <si>
    <t xml:space="preserve">   ösztönző hozzájárulás</t>
  </si>
  <si>
    <t>támogatásban részesülők fő</t>
  </si>
  <si>
    <t>kifizett támogatás összege</t>
  </si>
  <si>
    <t xml:space="preserve">     részletezés a 7.sz.mellékleten</t>
  </si>
  <si>
    <t>Alexa Attila</t>
  </si>
  <si>
    <t>80121-4 szakfeladat</t>
  </si>
  <si>
    <t xml:space="preserve">  </t>
  </si>
  <si>
    <t>Tervezett létszám</t>
  </si>
  <si>
    <t>Lakás fenntartási támogatás össz.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</si>
</sst>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yyyy/\ m/\ d\."/>
    <numFmt numFmtId="168" formatCode="yyyy/\ mmm\."/>
    <numFmt numFmtId="169" formatCode="0.0"/>
    <numFmt numFmtId="170" formatCode="yyyy/mmm/d"/>
    <numFmt numFmtId="171" formatCode="yyyy/\ mmmm"/>
    <numFmt numFmtId="172" formatCode="0.0000%"/>
    <numFmt numFmtId="173" formatCode="_-* #,##0.0000\ _F_t_-;\-* #,##0.0000\ _F_t_-;_-* &quot;-&quot;????\ _F_t_-;_-@_-"/>
    <numFmt numFmtId="174" formatCode="yyyy/\ mmm/"/>
    <numFmt numFmtId="175" formatCode="0.000%"/>
    <numFmt numFmtId="176" formatCode="0.00000%"/>
    <numFmt numFmtId="177" formatCode="_-* #,##0.000\ _F_t_-;\-* #,##0.000\ _F_t_-;_-* &quot;-&quot;???\ _F_t_-;_-@_-"/>
    <numFmt numFmtId="178" formatCode="0.000"/>
    <numFmt numFmtId="179" formatCode="0.0000"/>
    <numFmt numFmtId="180" formatCode="_-* #,##0.0000\ _F_t_-;\-* #,##0.0000\ _F_t_-;_-* &quot;-&quot;??\ _F_t_-;_-@_-"/>
  </numFmts>
  <fonts count="46">
    <font>
      <sz val="10"/>
      <name val="Arial CE"/>
      <family val="0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 CE"/>
      <family val="0"/>
    </font>
    <font>
      <sz val="9"/>
      <color indexed="10"/>
      <name val="Arial"/>
      <family val="2"/>
    </font>
    <font>
      <sz val="8"/>
      <name val="Arial CE"/>
      <family val="0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9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5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0" xfId="40" applyFont="1" applyBorder="1" applyAlignment="1">
      <alignment/>
    </xf>
    <xf numFmtId="164" fontId="2" fillId="0" borderId="10" xfId="40" applyNumberFormat="1" applyFont="1" applyBorder="1" applyAlignment="1">
      <alignment/>
    </xf>
    <xf numFmtId="164" fontId="3" fillId="0" borderId="10" xfId="4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1" xfId="40" applyNumberFormat="1" applyFont="1" applyBorder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horizontal="center"/>
    </xf>
    <xf numFmtId="164" fontId="1" fillId="0" borderId="0" xfId="40" applyNumberFormat="1" applyFont="1" applyAlignment="1">
      <alignment/>
    </xf>
    <xf numFmtId="0" fontId="4" fillId="0" borderId="0" xfId="0" applyFont="1" applyAlignment="1">
      <alignment/>
    </xf>
    <xf numFmtId="164" fontId="5" fillId="0" borderId="0" xfId="40" applyNumberFormat="1" applyFont="1" applyAlignment="1">
      <alignment/>
    </xf>
    <xf numFmtId="164" fontId="2" fillId="0" borderId="0" xfId="40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40" applyNumberFormat="1" applyFont="1" applyAlignment="1">
      <alignment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40" applyNumberFormat="1" applyFont="1" applyBorder="1" applyAlignment="1">
      <alignment/>
    </xf>
    <xf numFmtId="164" fontId="7" fillId="0" borderId="11" xfId="4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4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4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1" xfId="4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1" xfId="40" applyNumberFormat="1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  <xf numFmtId="43" fontId="3" fillId="0" borderId="10" xfId="40" applyFont="1" applyBorder="1" applyAlignment="1">
      <alignment horizontal="center" vertical="center" textRotation="90"/>
    </xf>
    <xf numFmtId="164" fontId="3" fillId="0" borderId="10" xfId="4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1" xfId="40" applyNumberFormat="1" applyFont="1" applyBorder="1" applyAlignment="1">
      <alignment/>
    </xf>
    <xf numFmtId="43" fontId="3" fillId="0" borderId="10" xfId="40" applyFont="1" applyBorder="1" applyAlignment="1">
      <alignment/>
    </xf>
    <xf numFmtId="16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40" applyFont="1" applyBorder="1" applyAlignment="1">
      <alignment/>
    </xf>
    <xf numFmtId="164" fontId="3" fillId="0" borderId="12" xfId="4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40" applyNumberFormat="1" applyFont="1" applyBorder="1" applyAlignment="1">
      <alignment/>
    </xf>
    <xf numFmtId="43" fontId="3" fillId="0" borderId="0" xfId="40" applyFont="1" applyAlignment="1">
      <alignment/>
    </xf>
    <xf numFmtId="164" fontId="3" fillId="0" borderId="0" xfId="40" applyNumberFormat="1" applyFont="1" applyAlignment="1">
      <alignment/>
    </xf>
    <xf numFmtId="0" fontId="6" fillId="0" borderId="10" xfId="0" applyFont="1" applyBorder="1" applyAlignment="1">
      <alignment/>
    </xf>
    <xf numFmtId="43" fontId="6" fillId="0" borderId="10" xfId="40" applyFont="1" applyBorder="1" applyAlignment="1">
      <alignment/>
    </xf>
    <xf numFmtId="164" fontId="6" fillId="0" borderId="10" xfId="40" applyNumberFormat="1" applyFont="1" applyBorder="1" applyAlignment="1">
      <alignment/>
    </xf>
    <xf numFmtId="164" fontId="6" fillId="0" borderId="11" xfId="4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5" fillId="0" borderId="0" xfId="40" applyNumberFormat="1" applyFont="1" applyAlignment="1">
      <alignment horizontal="center"/>
    </xf>
    <xf numFmtId="164" fontId="9" fillId="0" borderId="0" xfId="40" applyNumberFormat="1" applyFont="1" applyAlignment="1">
      <alignment/>
    </xf>
    <xf numFmtId="164" fontId="1" fillId="0" borderId="0" xfId="40" applyNumberFormat="1" applyFont="1" applyBorder="1" applyAlignment="1">
      <alignment/>
    </xf>
    <xf numFmtId="164" fontId="1" fillId="0" borderId="11" xfId="40" applyNumberFormat="1" applyFont="1" applyBorder="1" applyAlignment="1">
      <alignment/>
    </xf>
    <xf numFmtId="164" fontId="1" fillId="0" borderId="13" xfId="40" applyNumberFormat="1" applyFont="1" applyBorder="1" applyAlignment="1">
      <alignment/>
    </xf>
    <xf numFmtId="164" fontId="1" fillId="0" borderId="10" xfId="40" applyNumberFormat="1" applyFont="1" applyBorder="1" applyAlignment="1">
      <alignment/>
    </xf>
    <xf numFmtId="43" fontId="1" fillId="0" borderId="10" xfId="40" applyFont="1" applyBorder="1" applyAlignment="1">
      <alignment/>
    </xf>
    <xf numFmtId="164" fontId="1" fillId="0" borderId="12" xfId="4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64" fontId="9" fillId="0" borderId="10" xfId="40" applyNumberFormat="1" applyFont="1" applyBorder="1" applyAlignment="1">
      <alignment/>
    </xf>
    <xf numFmtId="164" fontId="9" fillId="0" borderId="11" xfId="40" applyNumberFormat="1" applyFont="1" applyBorder="1" applyAlignment="1">
      <alignment/>
    </xf>
    <xf numFmtId="164" fontId="4" fillId="0" borderId="0" xfId="40" applyNumberFormat="1" applyFont="1" applyAlignment="1">
      <alignment/>
    </xf>
    <xf numFmtId="164" fontId="1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40" applyNumberFormat="1" applyFont="1" applyBorder="1" applyAlignment="1">
      <alignment/>
    </xf>
    <xf numFmtId="167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40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43" fontId="3" fillId="0" borderId="10" xfId="40" applyNumberFormat="1" applyFont="1" applyBorder="1" applyAlignment="1">
      <alignment/>
    </xf>
    <xf numFmtId="43" fontId="3" fillId="0" borderId="11" xfId="40" applyNumberFormat="1" applyFont="1" applyBorder="1" applyAlignment="1">
      <alignment/>
    </xf>
    <xf numFmtId="10" fontId="3" fillId="0" borderId="10" xfId="40" applyNumberFormat="1" applyFont="1" applyBorder="1" applyAlignment="1">
      <alignment/>
    </xf>
    <xf numFmtId="0" fontId="3" fillId="0" borderId="14" xfId="0" applyFont="1" applyBorder="1" applyAlignment="1">
      <alignment/>
    </xf>
    <xf numFmtId="9" fontId="3" fillId="0" borderId="10" xfId="60" applyFont="1" applyBorder="1" applyAlignment="1">
      <alignment horizontal="center"/>
    </xf>
    <xf numFmtId="0" fontId="1" fillId="0" borderId="15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5" xfId="40" applyNumberFormat="1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0" xfId="40" applyNumberFormat="1" applyFont="1" applyBorder="1" applyAlignment="1">
      <alignment/>
    </xf>
    <xf numFmtId="2" fontId="1" fillId="0" borderId="11" xfId="6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4" fontId="1" fillId="0" borderId="10" xfId="4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24" borderId="17" xfId="0" applyFont="1" applyFill="1" applyBorder="1" applyAlignment="1">
      <alignment/>
    </xf>
    <xf numFmtId="164" fontId="3" fillId="0" borderId="17" xfId="40" applyNumberFormat="1" applyFont="1" applyBorder="1" applyAlignment="1">
      <alignment/>
    </xf>
    <xf numFmtId="164" fontId="3" fillId="24" borderId="17" xfId="40" applyNumberFormat="1" applyFont="1" applyFill="1" applyBorder="1" applyAlignment="1">
      <alignment/>
    </xf>
    <xf numFmtId="164" fontId="3" fillId="23" borderId="17" xfId="40" applyNumberFormat="1" applyFont="1" applyFill="1" applyBorder="1" applyAlignment="1">
      <alignment horizontal="center" wrapText="1"/>
    </xf>
    <xf numFmtId="164" fontId="3" fillId="23" borderId="17" xfId="40" applyNumberFormat="1" applyFont="1" applyFill="1" applyBorder="1" applyAlignment="1">
      <alignment/>
    </xf>
    <xf numFmtId="0" fontId="3" fillId="25" borderId="17" xfId="0" applyFont="1" applyFill="1" applyBorder="1" applyAlignment="1">
      <alignment/>
    </xf>
    <xf numFmtId="164" fontId="3" fillId="25" borderId="17" xfId="40" applyNumberFormat="1" applyFont="1" applyFill="1" applyBorder="1" applyAlignment="1">
      <alignment/>
    </xf>
    <xf numFmtId="0" fontId="3" fillId="8" borderId="17" xfId="0" applyFont="1" applyFill="1" applyBorder="1" applyAlignment="1">
      <alignment/>
    </xf>
    <xf numFmtId="164" fontId="3" fillId="8" borderId="17" xfId="4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164" fontId="3" fillId="4" borderId="17" xfId="40" applyNumberFormat="1" applyFont="1" applyFill="1" applyBorder="1" applyAlignment="1">
      <alignment/>
    </xf>
    <xf numFmtId="0" fontId="3" fillId="26" borderId="17" xfId="0" applyFont="1" applyFill="1" applyBorder="1" applyAlignment="1">
      <alignment/>
    </xf>
    <xf numFmtId="164" fontId="3" fillId="26" borderId="17" xfId="40" applyNumberFormat="1" applyFont="1" applyFill="1" applyBorder="1" applyAlignment="1">
      <alignment/>
    </xf>
    <xf numFmtId="164" fontId="3" fillId="23" borderId="17" xfId="40" applyNumberFormat="1" applyFont="1" applyFill="1" applyBorder="1" applyAlignment="1">
      <alignment wrapText="1"/>
    </xf>
    <xf numFmtId="164" fontId="3" fillId="7" borderId="17" xfId="40" applyNumberFormat="1" applyFont="1" applyFill="1" applyBorder="1" applyAlignment="1">
      <alignment horizontal="center" wrapText="1"/>
    </xf>
    <xf numFmtId="164" fontId="3" fillId="7" borderId="17" xfId="4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14" borderId="17" xfId="0" applyFont="1" applyFill="1" applyBorder="1" applyAlignment="1">
      <alignment/>
    </xf>
    <xf numFmtId="164" fontId="3" fillId="14" borderId="17" xfId="4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164" fontId="5" fillId="0" borderId="17" xfId="40" applyNumberFormat="1" applyFont="1" applyBorder="1" applyAlignment="1">
      <alignment/>
    </xf>
    <xf numFmtId="0" fontId="3" fillId="15" borderId="17" xfId="0" applyFont="1" applyFill="1" applyBorder="1" applyAlignment="1">
      <alignment/>
    </xf>
    <xf numFmtId="164" fontId="3" fillId="15" borderId="17" xfId="40" applyNumberFormat="1" applyFont="1" applyFill="1" applyBorder="1" applyAlignment="1">
      <alignment/>
    </xf>
    <xf numFmtId="164" fontId="5" fillId="0" borderId="0" xfId="40" applyNumberFormat="1" applyFont="1" applyAlignment="1">
      <alignment/>
    </xf>
    <xf numFmtId="0" fontId="2" fillId="19" borderId="17" xfId="0" applyFont="1" applyFill="1" applyBorder="1" applyAlignment="1">
      <alignment/>
    </xf>
    <xf numFmtId="164" fontId="2" fillId="19" borderId="17" xfId="40" applyNumberFormat="1" applyFont="1" applyFill="1" applyBorder="1" applyAlignment="1">
      <alignment/>
    </xf>
    <xf numFmtId="0" fontId="10" fillId="0" borderId="0" xfId="0" applyFont="1" applyAlignment="1">
      <alignment/>
    </xf>
    <xf numFmtId="164" fontId="3" fillId="0" borderId="10" xfId="40" applyNumberFormat="1" applyFont="1" applyBorder="1" applyAlignment="1">
      <alignment horizontal="center" vertical="center"/>
    </xf>
    <xf numFmtId="164" fontId="10" fillId="0" borderId="10" xfId="4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10" fillId="0" borderId="11" xfId="40" applyNumberFormat="1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164" fontId="3" fillId="0" borderId="0" xfId="40" applyNumberFormat="1" applyFont="1" applyBorder="1" applyAlignment="1">
      <alignment/>
    </xf>
    <xf numFmtId="164" fontId="3" fillId="0" borderId="18" xfId="4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164" fontId="3" fillId="0" borderId="10" xfId="40" applyNumberFormat="1" applyFont="1" applyBorder="1" applyAlignment="1">
      <alignment horizontal="center"/>
    </xf>
    <xf numFmtId="0" fontId="3" fillId="0" borderId="10" xfId="4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9" xfId="4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10" fontId="1" fillId="0" borderId="0" xfId="0" applyNumberFormat="1" applyFont="1" applyAlignment="1">
      <alignment/>
    </xf>
    <xf numFmtId="10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20" xfId="0" applyFont="1" applyBorder="1" applyAlignment="1">
      <alignment/>
    </xf>
    <xf numFmtId="10" fontId="1" fillId="0" borderId="13" xfId="0" applyNumberFormat="1" applyFont="1" applyBorder="1" applyAlignment="1">
      <alignment/>
    </xf>
    <xf numFmtId="164" fontId="4" fillId="0" borderId="10" xfId="4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1" xfId="40" applyNumberFormat="1" applyFont="1" applyBorder="1" applyAlignment="1">
      <alignment/>
    </xf>
    <xf numFmtId="164" fontId="3" fillId="0" borderId="17" xfId="40" applyNumberFormat="1" applyFont="1" applyBorder="1" applyAlignment="1">
      <alignment horizontal="center" vertical="center" wrapText="1"/>
    </xf>
    <xf numFmtId="164" fontId="7" fillId="0" borderId="10" xfId="4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40" applyNumberFormat="1" applyFont="1" applyBorder="1" applyAlignment="1">
      <alignment/>
    </xf>
    <xf numFmtId="43" fontId="7" fillId="0" borderId="0" xfId="40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4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4" fontId="8" fillId="0" borderId="0" xfId="40" applyNumberFormat="1" applyFont="1" applyBorder="1" applyAlignment="1">
      <alignment/>
    </xf>
    <xf numFmtId="43" fontId="8" fillId="0" borderId="0" xfId="40" applyFont="1" applyBorder="1" applyAlignment="1">
      <alignment/>
    </xf>
    <xf numFmtId="167" fontId="8" fillId="0" borderId="0" xfId="0" applyNumberFormat="1" applyFont="1" applyBorder="1" applyAlignment="1">
      <alignment horizontal="center"/>
    </xf>
    <xf numFmtId="164" fontId="7" fillId="0" borderId="10" xfId="4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4" fontId="5" fillId="0" borderId="10" xfId="40" applyNumberFormat="1" applyFont="1" applyBorder="1" applyAlignment="1">
      <alignment/>
    </xf>
    <xf numFmtId="164" fontId="7" fillId="0" borderId="10" xfId="40" applyNumberFormat="1" applyFont="1" applyBorder="1" applyAlignment="1">
      <alignment horizontal="center" vertical="center"/>
    </xf>
    <xf numFmtId="164" fontId="5" fillId="0" borderId="10" xfId="40" applyNumberFormat="1" applyFont="1" applyBorder="1" applyAlignment="1">
      <alignment horizontal="center" vertical="center"/>
    </xf>
    <xf numFmtId="164" fontId="7" fillId="0" borderId="10" xfId="4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5" fillId="0" borderId="10" xfId="4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11" fillId="0" borderId="10" xfId="40" applyNumberFormat="1" applyFont="1" applyBorder="1" applyAlignment="1">
      <alignment/>
    </xf>
    <xf numFmtId="164" fontId="11" fillId="0" borderId="10" xfId="4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64" fontId="14" fillId="0" borderId="10" xfId="4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64" fontId="5" fillId="0" borderId="10" xfId="0" applyNumberFormat="1" applyFont="1" applyBorder="1" applyAlignment="1">
      <alignment vertical="center" wrapText="1"/>
    </xf>
    <xf numFmtId="164" fontId="11" fillId="0" borderId="10" xfId="4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3" fontId="7" fillId="0" borderId="11" xfId="40" applyFont="1" applyBorder="1" applyAlignment="1">
      <alignment/>
    </xf>
    <xf numFmtId="43" fontId="5" fillId="0" borderId="11" xfId="40" applyFont="1" applyBorder="1" applyAlignment="1">
      <alignment/>
    </xf>
    <xf numFmtId="43" fontId="8" fillId="0" borderId="13" xfId="40" applyFont="1" applyBorder="1" applyAlignment="1">
      <alignment/>
    </xf>
    <xf numFmtId="0" fontId="7" fillId="0" borderId="10" xfId="0" applyFont="1" applyBorder="1" applyAlignment="1">
      <alignment vertical="center" textRotation="90" wrapText="1"/>
    </xf>
    <xf numFmtId="0" fontId="7" fillId="0" borderId="10" xfId="0" applyFont="1" applyBorder="1" applyAlignment="1">
      <alignment vertical="center" wrapText="1"/>
    </xf>
    <xf numFmtId="164" fontId="7" fillId="0" borderId="10" xfId="40" applyNumberFormat="1" applyFont="1" applyBorder="1" applyAlignment="1">
      <alignment vertical="center" wrapText="1"/>
    </xf>
    <xf numFmtId="164" fontId="8" fillId="0" borderId="12" xfId="40" applyNumberFormat="1" applyFont="1" applyBorder="1" applyAlignment="1">
      <alignment/>
    </xf>
    <xf numFmtId="164" fontId="8" fillId="0" borderId="0" xfId="40" applyNumberFormat="1" applyFont="1" applyBorder="1" applyAlignment="1">
      <alignment/>
    </xf>
    <xf numFmtId="164" fontId="7" fillId="0" borderId="10" xfId="0" applyNumberFormat="1" applyFont="1" applyBorder="1" applyAlignment="1">
      <alignment vertical="center" wrapText="1"/>
    </xf>
    <xf numFmtId="164" fontId="7" fillId="0" borderId="11" xfId="40" applyNumberFormat="1" applyFont="1" applyBorder="1" applyAlignment="1">
      <alignment/>
    </xf>
    <xf numFmtId="164" fontId="5" fillId="0" borderId="11" xfId="40" applyNumberFormat="1" applyFont="1" applyBorder="1" applyAlignment="1">
      <alignment/>
    </xf>
    <xf numFmtId="164" fontId="6" fillId="0" borderId="0" xfId="40" applyNumberFormat="1" applyFont="1" applyAlignment="1">
      <alignment/>
    </xf>
    <xf numFmtId="10" fontId="3" fillId="0" borderId="11" xfId="40" applyNumberFormat="1" applyFont="1" applyBorder="1" applyAlignment="1">
      <alignment/>
    </xf>
    <xf numFmtId="10" fontId="6" fillId="0" borderId="11" xfId="40" applyNumberFormat="1" applyFont="1" applyBorder="1" applyAlignment="1">
      <alignment/>
    </xf>
    <xf numFmtId="10" fontId="6" fillId="0" borderId="10" xfId="40" applyNumberFormat="1" applyFont="1" applyBorder="1" applyAlignment="1">
      <alignment/>
    </xf>
    <xf numFmtId="10" fontId="2" fillId="0" borderId="10" xfId="40" applyNumberFormat="1" applyFont="1" applyBorder="1" applyAlignment="1">
      <alignment/>
    </xf>
    <xf numFmtId="10" fontId="2" fillId="0" borderId="11" xfId="40" applyNumberFormat="1" applyFont="1" applyBorder="1" applyAlignment="1">
      <alignment/>
    </xf>
    <xf numFmtId="10" fontId="3" fillId="0" borderId="13" xfId="40" applyNumberFormat="1" applyFont="1" applyBorder="1" applyAlignment="1">
      <alignment/>
    </xf>
    <xf numFmtId="10" fontId="3" fillId="0" borderId="12" xfId="40" applyNumberFormat="1" applyFont="1" applyBorder="1" applyAlignment="1">
      <alignment/>
    </xf>
    <xf numFmtId="10" fontId="3" fillId="0" borderId="0" xfId="40" applyNumberFormat="1" applyFont="1" applyAlignment="1">
      <alignment/>
    </xf>
    <xf numFmtId="10" fontId="3" fillId="0" borderId="10" xfId="0" applyNumberFormat="1" applyFont="1" applyBorder="1" applyAlignment="1">
      <alignment/>
    </xf>
    <xf numFmtId="180" fontId="7" fillId="0" borderId="10" xfId="40" applyNumberFormat="1" applyFont="1" applyBorder="1" applyAlignment="1">
      <alignment/>
    </xf>
    <xf numFmtId="180" fontId="5" fillId="0" borderId="10" xfId="40" applyNumberFormat="1" applyFont="1" applyBorder="1" applyAlignment="1">
      <alignment/>
    </xf>
    <xf numFmtId="180" fontId="8" fillId="0" borderId="10" xfId="40" applyNumberFormat="1" applyFont="1" applyBorder="1" applyAlignment="1">
      <alignment/>
    </xf>
    <xf numFmtId="180" fontId="8" fillId="0" borderId="12" xfId="40" applyNumberFormat="1" applyFont="1" applyBorder="1" applyAlignment="1">
      <alignment/>
    </xf>
    <xf numFmtId="180" fontId="7" fillId="0" borderId="0" xfId="40" applyNumberFormat="1" applyFont="1" applyAlignment="1">
      <alignment/>
    </xf>
    <xf numFmtId="164" fontId="10" fillId="0" borderId="0" xfId="40" applyNumberFormat="1" applyFont="1" applyAlignment="1">
      <alignment/>
    </xf>
    <xf numFmtId="164" fontId="3" fillId="0" borderId="0" xfId="40" applyNumberFormat="1" applyFont="1" applyAlignment="1">
      <alignment horizontal="center"/>
    </xf>
    <xf numFmtId="164" fontId="2" fillId="0" borderId="0" xfId="40" applyNumberFormat="1" applyFont="1" applyAlignment="1">
      <alignment/>
    </xf>
    <xf numFmtId="0" fontId="3" fillId="23" borderId="0" xfId="0" applyFont="1" applyFill="1" applyAlignment="1">
      <alignment/>
    </xf>
    <xf numFmtId="0" fontId="6" fillId="25" borderId="0" xfId="0" applyFont="1" applyFill="1" applyAlignment="1">
      <alignment/>
    </xf>
    <xf numFmtId="164" fontId="2" fillId="0" borderId="0" xfId="4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80" fontId="7" fillId="0" borderId="10" xfId="0" applyNumberFormat="1" applyFont="1" applyBorder="1" applyAlignment="1">
      <alignment/>
    </xf>
    <xf numFmtId="44" fontId="3" fillId="0" borderId="0" xfId="55" applyFont="1" applyAlignment="1">
      <alignment/>
    </xf>
    <xf numFmtId="180" fontId="5" fillId="0" borderId="1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180" fontId="7" fillId="0" borderId="0" xfId="40" applyNumberFormat="1" applyFont="1" applyBorder="1" applyAlignment="1">
      <alignment/>
    </xf>
    <xf numFmtId="164" fontId="15" fillId="0" borderId="10" xfId="4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9" xfId="40" applyNumberFormat="1" applyFont="1" applyBorder="1" applyAlignment="1">
      <alignment/>
    </xf>
    <xf numFmtId="164" fontId="10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64" fontId="7" fillId="0" borderId="12" xfId="40" applyNumberFormat="1" applyFont="1" applyBorder="1" applyAlignment="1">
      <alignment/>
    </xf>
    <xf numFmtId="180" fontId="7" fillId="0" borderId="12" xfId="40" applyNumberFormat="1" applyFont="1" applyBorder="1" applyAlignment="1">
      <alignment/>
    </xf>
    <xf numFmtId="164" fontId="7" fillId="0" borderId="13" xfId="40" applyNumberFormat="1" applyFont="1" applyBorder="1" applyAlignment="1">
      <alignment/>
    </xf>
    <xf numFmtId="167" fontId="7" fillId="0" borderId="12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4" fontId="19" fillId="0" borderId="0" xfId="40" applyNumberFormat="1" applyFont="1" applyAlignment="1">
      <alignment horizontal="center"/>
    </xf>
    <xf numFmtId="164" fontId="17" fillId="0" borderId="0" xfId="40" applyNumberFormat="1" applyFont="1" applyAlignment="1">
      <alignment/>
    </xf>
    <xf numFmtId="0" fontId="3" fillId="0" borderId="18" xfId="0" applyFont="1" applyBorder="1" applyAlignment="1">
      <alignment wrapText="1"/>
    </xf>
    <xf numFmtId="164" fontId="3" fillId="0" borderId="22" xfId="4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20" fillId="0" borderId="0" xfId="40" applyNumberFormat="1" applyFont="1" applyAlignment="1">
      <alignment/>
    </xf>
    <xf numFmtId="164" fontId="17" fillId="0" borderId="10" xfId="40" applyNumberFormat="1" applyFont="1" applyBorder="1" applyAlignment="1">
      <alignment/>
    </xf>
    <xf numFmtId="164" fontId="3" fillId="23" borderId="17" xfId="40" applyNumberFormat="1" applyFont="1" applyFill="1" applyBorder="1" applyAlignment="1">
      <alignment horizontal="center" vertical="center" wrapText="1"/>
    </xf>
    <xf numFmtId="164" fontId="3" fillId="0" borderId="10" xfId="4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7" xfId="0" applyFont="1" applyBorder="1" applyAlignment="1">
      <alignment/>
    </xf>
    <xf numFmtId="0" fontId="0" fillId="0" borderId="17" xfId="0" applyBorder="1" applyAlignment="1">
      <alignment/>
    </xf>
    <xf numFmtId="1" fontId="21" fillId="0" borderId="17" xfId="0" applyNumberFormat="1" applyFont="1" applyBorder="1" applyAlignment="1">
      <alignment/>
    </xf>
    <xf numFmtId="0" fontId="25" fillId="0" borderId="17" xfId="0" applyFont="1" applyBorder="1" applyAlignment="1">
      <alignment/>
    </xf>
    <xf numFmtId="0" fontId="0" fillId="0" borderId="17" xfId="0" applyFont="1" applyBorder="1" applyAlignment="1">
      <alignment/>
    </xf>
    <xf numFmtId="164" fontId="26" fillId="0" borderId="0" xfId="40" applyNumberFormat="1" applyFont="1" applyAlignment="1">
      <alignment/>
    </xf>
    <xf numFmtId="164" fontId="20" fillId="0" borderId="0" xfId="40" applyNumberFormat="1" applyFont="1" applyAlignment="1">
      <alignment horizontal="center"/>
    </xf>
    <xf numFmtId="164" fontId="27" fillId="0" borderId="0" xfId="40" applyNumberFormat="1" applyFont="1" applyAlignment="1">
      <alignment horizontal="center"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4" fontId="10" fillId="25" borderId="0" xfId="40" applyNumberFormat="1" applyFont="1" applyFill="1" applyAlignment="1">
      <alignment/>
    </xf>
    <xf numFmtId="164" fontId="17" fillId="0" borderId="0" xfId="40" applyNumberFormat="1" applyFont="1" applyAlignment="1">
      <alignment/>
    </xf>
    <xf numFmtId="164" fontId="20" fillId="0" borderId="0" xfId="40" applyNumberFormat="1" applyFont="1" applyAlignment="1">
      <alignment/>
    </xf>
    <xf numFmtId="164" fontId="19" fillId="0" borderId="0" xfId="40" applyNumberFormat="1" applyFont="1" applyAlignment="1">
      <alignment/>
    </xf>
    <xf numFmtId="164" fontId="3" fillId="0" borderId="17" xfId="40" applyNumberFormat="1" applyFont="1" applyBorder="1" applyAlignment="1">
      <alignment horizontal="center" wrapText="1"/>
    </xf>
    <xf numFmtId="164" fontId="17" fillId="0" borderId="17" xfId="40" applyNumberFormat="1" applyFont="1" applyBorder="1" applyAlignment="1">
      <alignment/>
    </xf>
    <xf numFmtId="164" fontId="17" fillId="4" borderId="17" xfId="40" applyNumberFormat="1" applyFont="1" applyFill="1" applyBorder="1" applyAlignment="1">
      <alignment/>
    </xf>
    <xf numFmtId="164" fontId="17" fillId="0" borderId="0" xfId="40" applyNumberFormat="1" applyFont="1" applyAlignment="1">
      <alignment/>
    </xf>
    <xf numFmtId="164" fontId="17" fillId="0" borderId="17" xfId="40" applyNumberFormat="1" applyFont="1" applyBorder="1" applyAlignment="1">
      <alignment/>
    </xf>
    <xf numFmtId="164" fontId="17" fillId="4" borderId="17" xfId="40" applyNumberFormat="1" applyFont="1" applyFill="1" applyBorder="1" applyAlignment="1">
      <alignment/>
    </xf>
    <xf numFmtId="164" fontId="17" fillId="25" borderId="17" xfId="40" applyNumberFormat="1" applyFont="1" applyFill="1" applyBorder="1" applyAlignment="1">
      <alignment/>
    </xf>
    <xf numFmtId="164" fontId="17" fillId="24" borderId="17" xfId="40" applyNumberFormat="1" applyFont="1" applyFill="1" applyBorder="1" applyAlignment="1">
      <alignment/>
    </xf>
    <xf numFmtId="164" fontId="17" fillId="14" borderId="17" xfId="40" applyNumberFormat="1" applyFont="1" applyFill="1" applyBorder="1" applyAlignment="1">
      <alignment/>
    </xf>
    <xf numFmtId="164" fontId="19" fillId="0" borderId="17" xfId="40" applyNumberFormat="1" applyFont="1" applyBorder="1" applyAlignment="1">
      <alignment/>
    </xf>
    <xf numFmtId="164" fontId="17" fillId="15" borderId="17" xfId="40" applyNumberFormat="1" applyFont="1" applyFill="1" applyBorder="1" applyAlignment="1">
      <alignment/>
    </xf>
    <xf numFmtId="164" fontId="19" fillId="0" borderId="0" xfId="40" applyNumberFormat="1" applyFont="1" applyAlignment="1">
      <alignment horizontal="center"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164" fontId="17" fillId="0" borderId="17" xfId="40" applyNumberFormat="1" applyFont="1" applyBorder="1" applyAlignment="1">
      <alignment horizontal="center" vertical="center" wrapText="1"/>
    </xf>
    <xf numFmtId="164" fontId="20" fillId="0" borderId="0" xfId="40" applyNumberFormat="1" applyFont="1" applyAlignment="1">
      <alignment horizontal="center"/>
    </xf>
    <xf numFmtId="164" fontId="19" fillId="0" borderId="0" xfId="40" applyNumberFormat="1" applyFont="1" applyAlignment="1">
      <alignment/>
    </xf>
    <xf numFmtId="164" fontId="19" fillId="0" borderId="0" xfId="40" applyNumberFormat="1" applyFont="1" applyAlignment="1">
      <alignment/>
    </xf>
    <xf numFmtId="164" fontId="27" fillId="0" borderId="0" xfId="40" applyNumberFormat="1" applyFont="1" applyAlignment="1">
      <alignment/>
    </xf>
    <xf numFmtId="0" fontId="20" fillId="0" borderId="0" xfId="0" applyFont="1" applyAlignment="1">
      <alignment/>
    </xf>
    <xf numFmtId="164" fontId="17" fillId="15" borderId="17" xfId="40" applyNumberFormat="1" applyFont="1" applyFill="1" applyBorder="1" applyAlignment="1">
      <alignment/>
    </xf>
    <xf numFmtId="43" fontId="17" fillId="0" borderId="0" xfId="40" applyNumberFormat="1" applyFont="1" applyAlignment="1">
      <alignment/>
    </xf>
    <xf numFmtId="43" fontId="17" fillId="0" borderId="0" xfId="40" applyFont="1" applyAlignment="1">
      <alignment/>
    </xf>
    <xf numFmtId="164" fontId="20" fillId="0" borderId="0" xfId="40" applyNumberFormat="1" applyFont="1" applyAlignment="1">
      <alignment/>
    </xf>
    <xf numFmtId="10" fontId="17" fillId="0" borderId="0" xfId="40" applyNumberFormat="1" applyFont="1" applyAlignment="1">
      <alignment/>
    </xf>
    <xf numFmtId="10" fontId="17" fillId="0" borderId="0" xfId="40" applyNumberFormat="1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45" fillId="0" borderId="0" xfId="40" applyNumberFormat="1" applyFont="1" applyAlignment="1">
      <alignment/>
    </xf>
    <xf numFmtId="164" fontId="17" fillId="0" borderId="17" xfId="40" applyNumberFormat="1" applyFont="1" applyBorder="1" applyAlignment="1">
      <alignment/>
    </xf>
    <xf numFmtId="164" fontId="17" fillId="25" borderId="17" xfId="40" applyNumberFormat="1" applyFont="1" applyFill="1" applyBorder="1" applyAlignment="1">
      <alignment/>
    </xf>
    <xf numFmtId="164" fontId="17" fillId="24" borderId="17" xfId="40" applyNumberFormat="1" applyFont="1" applyFill="1" applyBorder="1" applyAlignment="1">
      <alignment/>
    </xf>
    <xf numFmtId="164" fontId="17" fillId="4" borderId="17" xfId="40" applyNumberFormat="1" applyFont="1" applyFill="1" applyBorder="1" applyAlignment="1">
      <alignment/>
    </xf>
    <xf numFmtId="164" fontId="17" fillId="0" borderId="17" xfId="40" applyNumberFormat="1" applyFont="1" applyBorder="1" applyAlignment="1">
      <alignment horizontal="center" wrapText="1"/>
    </xf>
    <xf numFmtId="164" fontId="17" fillId="0" borderId="0" xfId="40" applyNumberFormat="1" applyFont="1" applyAlignment="1">
      <alignment horizontal="center"/>
    </xf>
    <xf numFmtId="2" fontId="17" fillId="0" borderId="0" xfId="40" applyNumberFormat="1" applyFont="1" applyAlignment="1">
      <alignment/>
    </xf>
    <xf numFmtId="164" fontId="17" fillId="0" borderId="17" xfId="40" applyNumberFormat="1" applyFont="1" applyBorder="1" applyAlignment="1">
      <alignment wrapText="1"/>
    </xf>
    <xf numFmtId="164" fontId="17" fillId="8" borderId="17" xfId="40" applyNumberFormat="1" applyFont="1" applyFill="1" applyBorder="1" applyAlignment="1">
      <alignment/>
    </xf>
    <xf numFmtId="164" fontId="20" fillId="19" borderId="17" xfId="40" applyNumberFormat="1" applyFont="1" applyFill="1" applyBorder="1" applyAlignment="1">
      <alignment/>
    </xf>
    <xf numFmtId="164" fontId="17" fillId="0" borderId="0" xfId="40" applyNumberFormat="1" applyFont="1" applyAlignment="1">
      <alignment/>
    </xf>
    <xf numFmtId="164" fontId="17" fillId="27" borderId="0" xfId="40" applyNumberFormat="1" applyFont="1" applyFill="1" applyAlignment="1">
      <alignment/>
    </xf>
    <xf numFmtId="164" fontId="3" fillId="27" borderId="0" xfId="40" applyNumberFormat="1" applyFont="1" applyFill="1" applyAlignment="1">
      <alignment/>
    </xf>
    <xf numFmtId="164" fontId="20" fillId="27" borderId="0" xfId="40" applyNumberFormat="1" applyFont="1" applyFill="1" applyAlignment="1">
      <alignment/>
    </xf>
    <xf numFmtId="164" fontId="2" fillId="27" borderId="0" xfId="40" applyNumberFormat="1" applyFont="1" applyFill="1" applyAlignment="1">
      <alignment/>
    </xf>
    <xf numFmtId="164" fontId="6" fillId="27" borderId="0" xfId="40" applyNumberFormat="1" applyFont="1" applyFill="1" applyAlignment="1">
      <alignment/>
    </xf>
    <xf numFmtId="164" fontId="17" fillId="7" borderId="17" xfId="40" applyNumberFormat="1" applyFont="1" applyFill="1" applyBorder="1" applyAlignment="1">
      <alignment/>
    </xf>
    <xf numFmtId="164" fontId="17" fillId="7" borderId="17" xfId="40" applyNumberFormat="1" applyFont="1" applyFill="1" applyBorder="1" applyAlignment="1">
      <alignment/>
    </xf>
    <xf numFmtId="1" fontId="25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40" applyNumberFormat="1" applyFont="1" applyBorder="1" applyAlignment="1">
      <alignment horizontal="center" vertical="center" textRotation="90" wrapText="1"/>
    </xf>
    <xf numFmtId="164" fontId="3" fillId="0" borderId="23" xfId="40" applyNumberFormat="1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19" xfId="40" applyNumberFormat="1" applyFont="1" applyBorder="1" applyAlignment="1">
      <alignment horizontal="center" vertical="center" textRotation="90" wrapText="1"/>
    </xf>
    <xf numFmtId="0" fontId="1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4" fontId="3" fillId="0" borderId="10" xfId="40" applyNumberFormat="1" applyFont="1" applyBorder="1" applyAlignment="1">
      <alignment horizontal="center" vertical="center" textRotation="90"/>
    </xf>
    <xf numFmtId="164" fontId="3" fillId="0" borderId="23" xfId="40" applyNumberFormat="1" applyFont="1" applyBorder="1" applyAlignment="1">
      <alignment horizontal="center" vertical="center" textRotation="90"/>
    </xf>
    <xf numFmtId="164" fontId="3" fillId="0" borderId="21" xfId="4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3" fillId="0" borderId="11" xfId="40" applyNumberFormat="1" applyFont="1" applyBorder="1" applyAlignment="1">
      <alignment horizontal="center" vertical="center" textRotation="90" wrapText="1"/>
    </xf>
    <xf numFmtId="164" fontId="3" fillId="0" borderId="27" xfId="40" applyNumberFormat="1" applyFont="1" applyBorder="1" applyAlignment="1">
      <alignment horizontal="center" vertical="center" textRotation="90" wrapText="1"/>
    </xf>
    <xf numFmtId="164" fontId="3" fillId="0" borderId="14" xfId="4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0" fontId="3" fillId="0" borderId="11" xfId="40" applyNumberFormat="1" applyFont="1" applyBorder="1" applyAlignment="1">
      <alignment horizontal="center" vertical="center" textRotation="90" wrapText="1"/>
    </xf>
    <xf numFmtId="10" fontId="3" fillId="0" borderId="27" xfId="40" applyNumberFormat="1" applyFont="1" applyBorder="1" applyAlignment="1">
      <alignment horizontal="center" vertical="center" textRotation="90" wrapText="1"/>
    </xf>
    <xf numFmtId="10" fontId="3" fillId="0" borderId="21" xfId="4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0" fontId="3" fillId="0" borderId="10" xfId="40" applyNumberFormat="1" applyFont="1" applyBorder="1" applyAlignment="1">
      <alignment horizontal="center" vertical="center" textRotation="90" wrapText="1"/>
    </xf>
    <xf numFmtId="10" fontId="3" fillId="0" borderId="23" xfId="40" applyNumberFormat="1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10" fontId="3" fillId="0" borderId="24" xfId="40" applyNumberFormat="1" applyFont="1" applyBorder="1" applyAlignment="1">
      <alignment horizontal="center" vertical="center" wrapText="1"/>
    </xf>
    <xf numFmtId="10" fontId="3" fillId="0" borderId="25" xfId="40" applyNumberFormat="1" applyFont="1" applyBorder="1" applyAlignment="1">
      <alignment horizontal="center" vertical="center" wrapText="1"/>
    </xf>
    <xf numFmtId="10" fontId="3" fillId="0" borderId="20" xfId="40" applyNumberFormat="1" applyFont="1" applyBorder="1" applyAlignment="1">
      <alignment horizontal="center" vertical="center" wrapText="1"/>
    </xf>
    <xf numFmtId="10" fontId="3" fillId="0" borderId="26" xfId="40" applyNumberFormat="1" applyFont="1" applyBorder="1" applyAlignment="1">
      <alignment horizontal="center" vertical="center" wrapText="1"/>
    </xf>
    <xf numFmtId="10" fontId="3" fillId="0" borderId="13" xfId="40" applyNumberFormat="1" applyFont="1" applyBorder="1" applyAlignment="1">
      <alignment horizontal="center" vertical="center" wrapText="1"/>
    </xf>
    <xf numFmtId="164" fontId="16" fillId="0" borderId="10" xfId="40" applyNumberFormat="1" applyFont="1" applyBorder="1" applyAlignment="1">
      <alignment horizontal="center" vertical="center" textRotation="90" wrapText="1"/>
    </xf>
    <xf numFmtId="164" fontId="16" fillId="0" borderId="23" xfId="40" applyNumberFormat="1" applyFont="1" applyBorder="1" applyAlignment="1">
      <alignment horizontal="center" vertical="center" textRotation="90" wrapText="1"/>
    </xf>
    <xf numFmtId="10" fontId="3" fillId="0" borderId="19" xfId="4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164" fontId="3" fillId="0" borderId="25" xfId="40" applyNumberFormat="1" applyFont="1" applyBorder="1" applyAlignment="1">
      <alignment horizontal="center" vertical="center"/>
    </xf>
    <xf numFmtId="164" fontId="3" fillId="0" borderId="11" xfId="40" applyNumberFormat="1" applyFont="1" applyBorder="1" applyAlignment="1">
      <alignment horizontal="center" vertical="center"/>
    </xf>
    <xf numFmtId="164" fontId="3" fillId="0" borderId="27" xfId="40" applyNumberFormat="1" applyFont="1" applyBorder="1" applyAlignment="1">
      <alignment horizontal="center" vertical="center"/>
    </xf>
    <xf numFmtId="164" fontId="3" fillId="0" borderId="19" xfId="40" applyNumberFormat="1" applyFont="1" applyBorder="1" applyAlignment="1">
      <alignment horizontal="center" vertical="center"/>
    </xf>
    <xf numFmtId="164" fontId="3" fillId="0" borderId="10" xfId="40" applyNumberFormat="1" applyFont="1" applyBorder="1" applyAlignment="1">
      <alignment horizontal="center" vertical="center"/>
    </xf>
    <xf numFmtId="164" fontId="3" fillId="0" borderId="23" xfId="4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19" xfId="40" applyNumberFormat="1" applyFont="1" applyBorder="1" applyAlignment="1">
      <alignment horizontal="center" vertical="center" wrapText="1"/>
    </xf>
    <xf numFmtId="164" fontId="3" fillId="0" borderId="10" xfId="40" applyNumberFormat="1" applyFont="1" applyBorder="1" applyAlignment="1">
      <alignment horizontal="center" vertical="center" wrapText="1"/>
    </xf>
    <xf numFmtId="164" fontId="3" fillId="0" borderId="23" xfId="4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3" fontId="3" fillId="0" borderId="19" xfId="40" applyFont="1" applyBorder="1" applyAlignment="1">
      <alignment horizontal="center" vertical="center" textRotation="90" wrapText="1"/>
    </xf>
    <xf numFmtId="43" fontId="3" fillId="0" borderId="23" xfId="4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80" fontId="7" fillId="0" borderId="19" xfId="40" applyNumberFormat="1" applyFont="1" applyBorder="1" applyAlignment="1">
      <alignment horizontal="center" vertical="center" textRotation="90"/>
    </xf>
    <xf numFmtId="180" fontId="7" fillId="0" borderId="10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64" fontId="7" fillId="0" borderId="10" xfId="40" applyNumberFormat="1" applyFont="1" applyBorder="1" applyAlignment="1">
      <alignment horizontal="center" vertical="center" textRotation="90" wrapText="1"/>
    </xf>
    <xf numFmtId="164" fontId="7" fillId="0" borderId="10" xfId="40" applyNumberFormat="1" applyFont="1" applyBorder="1" applyAlignment="1">
      <alignment/>
    </xf>
    <xf numFmtId="164" fontId="7" fillId="0" borderId="23" xfId="40" applyNumberFormat="1" applyFont="1" applyBorder="1" applyAlignment="1">
      <alignment/>
    </xf>
    <xf numFmtId="0" fontId="7" fillId="0" borderId="20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164" fontId="7" fillId="0" borderId="28" xfId="4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164" fontId="7" fillId="0" borderId="19" xfId="4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43" fontId="7" fillId="0" borderId="25" xfId="4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7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64" fontId="7" fillId="0" borderId="25" xfId="40" applyNumberFormat="1" applyFont="1" applyBorder="1" applyAlignment="1">
      <alignment horizontal="center" vertical="center" textRotation="90" wrapText="1"/>
    </xf>
    <xf numFmtId="164" fontId="0" fillId="0" borderId="11" xfId="40" applyNumberFormat="1" applyFont="1" applyBorder="1" applyAlignment="1">
      <alignment/>
    </xf>
    <xf numFmtId="164" fontId="0" fillId="0" borderId="27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23" xfId="40" applyNumberFormat="1" applyFont="1" applyBorder="1" applyAlignment="1">
      <alignment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67" fontId="7" fillId="0" borderId="19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0" xfId="40" applyNumberFormat="1" applyFont="1" applyBorder="1" applyAlignment="1">
      <alignment horizontal="center" vertical="center"/>
    </xf>
    <xf numFmtId="164" fontId="0" fillId="0" borderId="23" xfId="4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7" fillId="0" borderId="20" xfId="40" applyNumberFormat="1" applyFont="1" applyBorder="1" applyAlignment="1">
      <alignment horizontal="center"/>
    </xf>
    <xf numFmtId="164" fontId="7" fillId="0" borderId="13" xfId="4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7" fillId="0" borderId="23" xfId="40" applyNumberFormat="1" applyFont="1" applyBorder="1" applyAlignment="1">
      <alignment horizontal="center" vertical="center" textRotation="90" wrapText="1"/>
    </xf>
    <xf numFmtId="164" fontId="7" fillId="0" borderId="28" xfId="40" applyNumberFormat="1" applyFont="1" applyBorder="1" applyAlignment="1">
      <alignment horizontal="center" wrapText="1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180" fontId="18" fillId="0" borderId="10" xfId="0" applyNumberFormat="1" applyFont="1" applyBorder="1" applyAlignment="1">
      <alignment/>
    </xf>
    <xf numFmtId="180" fontId="18" fillId="0" borderId="23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164" fontId="3" fillId="0" borderId="19" xfId="40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 wrapText="1"/>
    </xf>
    <xf numFmtId="164" fontId="3" fillId="0" borderId="25" xfId="40" applyNumberFormat="1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/>
    </xf>
    <xf numFmtId="164" fontId="1" fillId="0" borderId="0" xfId="40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3" fillId="0" borderId="24" xfId="40" applyNumberFormat="1" applyFont="1" applyBorder="1" applyAlignment="1">
      <alignment horizontal="center" vertical="center"/>
    </xf>
    <xf numFmtId="164" fontId="3" fillId="0" borderId="20" xfId="40" applyNumberFormat="1" applyFont="1" applyBorder="1" applyAlignment="1">
      <alignment horizontal="center" vertical="center"/>
    </xf>
    <xf numFmtId="164" fontId="3" fillId="0" borderId="26" xfId="40" applyNumberFormat="1" applyFont="1" applyBorder="1" applyAlignment="1">
      <alignment horizontal="center" vertical="center"/>
    </xf>
    <xf numFmtId="164" fontId="3" fillId="0" borderId="13" xfId="40" applyNumberFormat="1" applyFont="1" applyBorder="1" applyAlignment="1">
      <alignment horizontal="center" vertical="center"/>
    </xf>
    <xf numFmtId="164" fontId="3" fillId="0" borderId="14" xfId="4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164" fontId="0" fillId="0" borderId="24" xfId="40" applyNumberFormat="1" applyFont="1" applyBorder="1" applyAlignment="1">
      <alignment horizontal="center" vertical="center"/>
    </xf>
    <xf numFmtId="164" fontId="0" fillId="0" borderId="25" xfId="40" applyNumberFormat="1" applyFont="1" applyBorder="1" applyAlignment="1">
      <alignment horizontal="center" vertical="center"/>
    </xf>
    <xf numFmtId="164" fontId="0" fillId="0" borderId="20" xfId="40" applyNumberFormat="1" applyFont="1" applyBorder="1" applyAlignment="1">
      <alignment horizontal="center" vertical="center"/>
    </xf>
    <xf numFmtId="164" fontId="0" fillId="0" borderId="26" xfId="40" applyNumberFormat="1" applyFont="1" applyBorder="1" applyAlignment="1">
      <alignment horizontal="center" vertical="center"/>
    </xf>
    <xf numFmtId="164" fontId="0" fillId="0" borderId="13" xfId="40" applyNumberFormat="1" applyFont="1" applyBorder="1" applyAlignment="1">
      <alignment horizontal="center" vertical="center"/>
    </xf>
    <xf numFmtId="164" fontId="0" fillId="0" borderId="12" xfId="40" applyNumberFormat="1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164" fontId="3" fillId="0" borderId="32" xfId="40" applyNumberFormat="1" applyFont="1" applyBorder="1" applyAlignment="1">
      <alignment horizontal="center"/>
    </xf>
    <xf numFmtId="164" fontId="3" fillId="0" borderId="33" xfId="40" applyNumberFormat="1" applyFont="1" applyBorder="1" applyAlignment="1">
      <alignment horizontal="center"/>
    </xf>
    <xf numFmtId="164" fontId="3" fillId="0" borderId="34" xfId="40" applyNumberFormat="1" applyFont="1" applyBorder="1" applyAlignment="1">
      <alignment horizontal="center"/>
    </xf>
    <xf numFmtId="0" fontId="3" fillId="0" borderId="19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23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40" applyNumberFormat="1" applyFont="1" applyAlignment="1">
      <alignment horizontal="center" vertical="center" wrapText="1"/>
    </xf>
    <xf numFmtId="164" fontId="3" fillId="0" borderId="0" xfId="4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4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9" xfId="40" applyNumberFormat="1" applyFont="1" applyBorder="1" applyAlignment="1">
      <alignment horizontal="center" vertical="center" wrapText="1"/>
    </xf>
    <xf numFmtId="164" fontId="1" fillId="0" borderId="10" xfId="40" applyNumberFormat="1" applyFont="1" applyBorder="1" applyAlignment="1">
      <alignment horizontal="center" vertical="center" wrapText="1"/>
    </xf>
    <xf numFmtId="164" fontId="1" fillId="0" borderId="23" xfId="40" applyNumberFormat="1" applyFont="1" applyBorder="1" applyAlignment="1">
      <alignment horizontal="center" vertical="center" wrapText="1"/>
    </xf>
    <xf numFmtId="164" fontId="1" fillId="0" borderId="25" xfId="40" applyNumberFormat="1" applyFont="1" applyBorder="1" applyAlignment="1">
      <alignment horizontal="center" vertical="center" wrapText="1"/>
    </xf>
    <xf numFmtId="164" fontId="1" fillId="0" borderId="11" xfId="40" applyNumberFormat="1" applyFont="1" applyBorder="1" applyAlignment="1">
      <alignment horizontal="center" vertical="center" wrapText="1"/>
    </xf>
    <xf numFmtId="164" fontId="1" fillId="0" borderId="27" xfId="4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5"/>
  <sheetViews>
    <sheetView zoomScalePageLayoutView="0" workbookViewId="0" topLeftCell="A340">
      <selection activeCell="F364" sqref="F364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145" t="s">
        <v>645</v>
      </c>
    </row>
    <row r="3" ht="12">
      <c r="A3" s="61" t="s">
        <v>243</v>
      </c>
    </row>
    <row r="5" spans="1:4" ht="24.75" customHeight="1">
      <c r="A5" s="363" t="s">
        <v>1544</v>
      </c>
      <c r="B5" s="361"/>
      <c r="C5" s="361"/>
      <c r="D5" s="361"/>
    </row>
    <row r="7" ht="12">
      <c r="A7" s="37" t="s">
        <v>255</v>
      </c>
    </row>
    <row r="8" ht="12">
      <c r="A8" s="37" t="s">
        <v>256</v>
      </c>
    </row>
    <row r="10" spans="1:2" ht="12">
      <c r="A10" s="37" t="s">
        <v>1545</v>
      </c>
      <c r="B10" s="63" t="s">
        <v>780</v>
      </c>
    </row>
    <row r="11" spans="1:4" ht="12">
      <c r="A11" s="37" t="s">
        <v>1546</v>
      </c>
      <c r="B11" s="13">
        <v>50000</v>
      </c>
      <c r="C11" s="274">
        <v>190000</v>
      </c>
      <c r="D11" s="274"/>
    </row>
    <row r="12" spans="1:4" ht="12">
      <c r="A12" s="37" t="s">
        <v>1545</v>
      </c>
      <c r="B12" s="15"/>
      <c r="C12" s="274">
        <f>SUM(C11)</f>
        <v>190000</v>
      </c>
      <c r="D12" s="274">
        <f>ROUND(C12/1000,0)</f>
        <v>190</v>
      </c>
    </row>
    <row r="13" spans="1:4" ht="12">
      <c r="A13" s="37" t="s">
        <v>1263</v>
      </c>
      <c r="B13" s="16"/>
      <c r="C13" s="274">
        <v>100000</v>
      </c>
      <c r="D13" s="274">
        <v>100</v>
      </c>
    </row>
    <row r="14" spans="1:4" ht="12">
      <c r="A14" s="37" t="s">
        <v>1547</v>
      </c>
      <c r="B14" s="16"/>
      <c r="C14" s="274"/>
      <c r="D14" s="274"/>
    </row>
    <row r="15" spans="1:4" ht="12">
      <c r="A15" s="37" t="s">
        <v>923</v>
      </c>
      <c r="B15" s="16"/>
      <c r="C15" s="274">
        <v>1934000</v>
      </c>
      <c r="D15" s="274">
        <f aca="true" t="shared" si="0" ref="D15:D23">ROUND(C15/1000,0)</f>
        <v>1934</v>
      </c>
    </row>
    <row r="16" spans="1:4" ht="12">
      <c r="A16" s="37" t="s">
        <v>480</v>
      </c>
      <c r="B16" s="16"/>
      <c r="C16" s="274">
        <v>941984</v>
      </c>
      <c r="D16" s="274">
        <f t="shared" si="0"/>
        <v>942</v>
      </c>
    </row>
    <row r="17" spans="1:4" ht="12">
      <c r="A17" s="37" t="s">
        <v>375</v>
      </c>
      <c r="B17" s="16"/>
      <c r="C17" s="274">
        <f>körj!C92</f>
        <v>2875984.2207023147</v>
      </c>
      <c r="D17" s="274">
        <f t="shared" si="0"/>
        <v>2876</v>
      </c>
    </row>
    <row r="18" spans="1:4" ht="12">
      <c r="A18" s="37" t="s">
        <v>924</v>
      </c>
      <c r="B18" s="16"/>
      <c r="C18" s="274">
        <v>4512358</v>
      </c>
      <c r="D18" s="274">
        <f t="shared" si="0"/>
        <v>4512</v>
      </c>
    </row>
    <row r="19" spans="1:4" ht="12">
      <c r="A19" s="37" t="s">
        <v>1547</v>
      </c>
      <c r="B19" s="16"/>
      <c r="C19" s="274">
        <f>C17+C18</f>
        <v>7388342.220702315</v>
      </c>
      <c r="D19" s="274">
        <f t="shared" si="0"/>
        <v>7388</v>
      </c>
    </row>
    <row r="20" spans="1:4" ht="12">
      <c r="A20" s="37" t="s">
        <v>1133</v>
      </c>
      <c r="B20" s="16"/>
      <c r="C20" s="274">
        <v>621867</v>
      </c>
      <c r="D20" s="274">
        <f t="shared" si="0"/>
        <v>622</v>
      </c>
    </row>
    <row r="21" spans="1:4" ht="12">
      <c r="A21" s="37" t="s">
        <v>1134</v>
      </c>
      <c r="B21" s="16"/>
      <c r="C21" s="274">
        <f>C19+C20+C13</f>
        <v>8110209.220702315</v>
      </c>
      <c r="D21" s="274">
        <f t="shared" si="0"/>
        <v>8110</v>
      </c>
    </row>
    <row r="22" spans="1:4" ht="12">
      <c r="A22" s="37" t="s">
        <v>1069</v>
      </c>
      <c r="B22" s="16"/>
      <c r="C22" s="274"/>
      <c r="D22" s="274">
        <f t="shared" si="0"/>
        <v>0</v>
      </c>
    </row>
    <row r="23" spans="1:4" ht="12">
      <c r="A23" s="37" t="s">
        <v>421</v>
      </c>
      <c r="B23" s="16"/>
      <c r="C23" s="274"/>
      <c r="D23" s="274">
        <f t="shared" si="0"/>
        <v>0</v>
      </c>
    </row>
    <row r="24" spans="1:4" ht="12">
      <c r="A24" s="37" t="s">
        <v>1548</v>
      </c>
      <c r="B24" s="16"/>
      <c r="C24" s="274">
        <f>SUM(C22:C23)</f>
        <v>0</v>
      </c>
      <c r="D24" s="274">
        <f>SUM(D22:D23)</f>
        <v>0</v>
      </c>
    </row>
    <row r="25" spans="2:4" ht="12">
      <c r="B25" s="16"/>
      <c r="C25" s="274"/>
      <c r="D25" s="274"/>
    </row>
    <row r="26" spans="1:4" ht="12">
      <c r="A26" s="37" t="s">
        <v>1109</v>
      </c>
      <c r="B26" s="63" t="s">
        <v>780</v>
      </c>
      <c r="C26" s="274"/>
      <c r="D26" s="274"/>
    </row>
    <row r="27" spans="1:4" ht="12">
      <c r="A27" s="37" t="s">
        <v>1549</v>
      </c>
      <c r="B27" s="13">
        <v>78000</v>
      </c>
      <c r="C27" s="274">
        <v>0</v>
      </c>
      <c r="D27" s="274">
        <f>ROUND(C27/1000,0)</f>
        <v>0</v>
      </c>
    </row>
    <row r="28" spans="1:4" ht="12">
      <c r="A28" s="37" t="s">
        <v>304</v>
      </c>
      <c r="C28" s="274">
        <v>136000</v>
      </c>
      <c r="D28" s="274">
        <v>136</v>
      </c>
    </row>
    <row r="29" spans="1:4" ht="12">
      <c r="A29" s="37" t="s">
        <v>303</v>
      </c>
      <c r="B29" s="63"/>
      <c r="C29" s="274">
        <v>37000</v>
      </c>
      <c r="D29" s="274">
        <v>37</v>
      </c>
    </row>
    <row r="30" spans="1:4" ht="12">
      <c r="A30" s="37" t="s">
        <v>1107</v>
      </c>
      <c r="B30" s="13">
        <v>15000</v>
      </c>
      <c r="C30" s="274">
        <v>10000</v>
      </c>
      <c r="D30" s="274">
        <v>10</v>
      </c>
    </row>
    <row r="31" spans="1:4" ht="12">
      <c r="A31" s="37" t="s">
        <v>305</v>
      </c>
      <c r="C31" s="274">
        <f>C28+C30+C29</f>
        <v>183000</v>
      </c>
      <c r="D31" s="274">
        <f>D28+D30+D29</f>
        <v>183</v>
      </c>
    </row>
    <row r="32" spans="1:4" s="61" customFormat="1" ht="12">
      <c r="A32" s="61" t="s">
        <v>1448</v>
      </c>
      <c r="B32" s="226"/>
      <c r="C32" s="291">
        <f>C19+C20+C12+C31+C13</f>
        <v>8483209.220702315</v>
      </c>
      <c r="D32" s="291">
        <f>D19+D20+D12+D31+D13</f>
        <v>8483</v>
      </c>
    </row>
    <row r="33" spans="2:4" s="61" customFormat="1" ht="12">
      <c r="B33" s="226"/>
      <c r="C33" s="226"/>
      <c r="D33" s="226"/>
    </row>
    <row r="34" spans="1:4" s="61" customFormat="1" ht="12">
      <c r="A34" s="61" t="s">
        <v>637</v>
      </c>
      <c r="B34" s="226"/>
      <c r="C34" s="226"/>
      <c r="D34" s="226"/>
    </row>
    <row r="35" spans="2:4" s="61" customFormat="1" ht="12">
      <c r="B35" s="226"/>
      <c r="C35" s="226"/>
      <c r="D35" s="226"/>
    </row>
    <row r="36" spans="1:4" s="61" customFormat="1" ht="27" customHeight="1">
      <c r="A36" s="363" t="s">
        <v>2</v>
      </c>
      <c r="B36" s="361"/>
      <c r="C36" s="361"/>
      <c r="D36" s="361"/>
    </row>
    <row r="38" spans="1:4" ht="12">
      <c r="A38" s="37" t="s">
        <v>638</v>
      </c>
      <c r="C38" s="55">
        <v>19763</v>
      </c>
      <c r="D38" s="55">
        <v>19763</v>
      </c>
    </row>
    <row r="39" ht="12">
      <c r="A39" s="37" t="s">
        <v>1550</v>
      </c>
    </row>
    <row r="41" spans="1:4" s="61" customFormat="1" ht="12">
      <c r="A41" s="61" t="s">
        <v>190</v>
      </c>
      <c r="B41" s="226"/>
      <c r="C41" s="226"/>
      <c r="D41" s="226">
        <f>SUM(D38:D40)</f>
        <v>19763</v>
      </c>
    </row>
    <row r="43" spans="1:4" s="145" customFormat="1" ht="12">
      <c r="A43" s="145" t="s">
        <v>1551</v>
      </c>
      <c r="B43" s="241"/>
      <c r="C43" s="241">
        <f>C32+C41</f>
        <v>8483209.220702315</v>
      </c>
      <c r="D43" s="241">
        <f>D32+D41</f>
        <v>28246</v>
      </c>
    </row>
    <row r="45" ht="12">
      <c r="A45" s="145" t="s">
        <v>1219</v>
      </c>
    </row>
    <row r="46" ht="12">
      <c r="A46" s="145"/>
    </row>
    <row r="47" ht="12">
      <c r="A47" s="145" t="s">
        <v>1220</v>
      </c>
    </row>
    <row r="49" ht="12">
      <c r="A49" s="61" t="s">
        <v>1554</v>
      </c>
    </row>
    <row r="51" spans="1:4" ht="27.75" customHeight="1">
      <c r="A51" s="363" t="s">
        <v>1555</v>
      </c>
      <c r="B51" s="361"/>
      <c r="C51" s="361"/>
      <c r="D51" s="361"/>
    </row>
    <row r="53" ht="12">
      <c r="A53" s="37" t="s">
        <v>255</v>
      </c>
    </row>
    <row r="54" ht="12">
      <c r="A54" s="37" t="s">
        <v>1556</v>
      </c>
    </row>
    <row r="56" spans="1:2" ht="12">
      <c r="A56" s="37" t="s">
        <v>1557</v>
      </c>
      <c r="B56" s="63" t="s">
        <v>844</v>
      </c>
    </row>
    <row r="57" spans="1:2" ht="12">
      <c r="A57" s="37" t="s">
        <v>424</v>
      </c>
      <c r="B57" s="243"/>
    </row>
    <row r="58" spans="1:2" ht="12">
      <c r="A58" s="37" t="s">
        <v>1558</v>
      </c>
      <c r="B58" s="243">
        <v>72414</v>
      </c>
    </row>
    <row r="59" spans="1:4" ht="12">
      <c r="A59" s="37" t="s">
        <v>1557</v>
      </c>
      <c r="B59" s="243">
        <f>SUM(B57:B58)</f>
        <v>72414</v>
      </c>
      <c r="C59" s="274">
        <v>225000</v>
      </c>
      <c r="D59" s="274">
        <f>ROUND(C59/1000,0)</f>
        <v>225</v>
      </c>
    </row>
    <row r="60" spans="3:4" ht="12">
      <c r="C60" s="274"/>
      <c r="D60" s="274"/>
    </row>
    <row r="61" spans="1:4" ht="12">
      <c r="A61" s="37" t="s">
        <v>929</v>
      </c>
      <c r="B61" s="63" t="s">
        <v>316</v>
      </c>
      <c r="C61" s="273" t="s">
        <v>789</v>
      </c>
      <c r="D61" s="304"/>
    </row>
    <row r="62" spans="1:4" ht="12">
      <c r="A62" s="37" t="s">
        <v>931</v>
      </c>
      <c r="C62" s="304">
        <v>45000</v>
      </c>
      <c r="D62" s="304">
        <f>ROUND(C62/1000,0)</f>
        <v>45</v>
      </c>
    </row>
    <row r="63" spans="3:4" ht="12">
      <c r="C63" s="304"/>
      <c r="D63" s="304"/>
    </row>
    <row r="64" spans="1:4" s="61" customFormat="1" ht="12">
      <c r="A64" s="61" t="s">
        <v>932</v>
      </c>
      <c r="B64" s="226"/>
      <c r="C64" s="291">
        <f>C59+C62</f>
        <v>270000</v>
      </c>
      <c r="D64" s="291">
        <f>D59+D62</f>
        <v>270</v>
      </c>
    </row>
    <row r="66" ht="12">
      <c r="A66" s="61" t="s">
        <v>933</v>
      </c>
    </row>
    <row r="68" spans="1:4" ht="27" customHeight="1">
      <c r="A68" s="363" t="s">
        <v>946</v>
      </c>
      <c r="B68" s="361"/>
      <c r="C68" s="361"/>
      <c r="D68" s="361"/>
    </row>
    <row r="70" ht="12">
      <c r="A70" s="37" t="s">
        <v>255</v>
      </c>
    </row>
    <row r="71" ht="12">
      <c r="A71" s="37" t="s">
        <v>1556</v>
      </c>
    </row>
    <row r="73" spans="1:2" ht="12">
      <c r="A73" s="37" t="s">
        <v>219</v>
      </c>
      <c r="B73" s="63" t="s">
        <v>780</v>
      </c>
    </row>
    <row r="74" spans="1:4" ht="12">
      <c r="A74" s="37" t="s">
        <v>947</v>
      </c>
      <c r="B74" s="280">
        <v>5000</v>
      </c>
      <c r="C74" s="304">
        <v>5000</v>
      </c>
      <c r="D74" s="304">
        <f>ROUND(C74/1000,0)</f>
        <v>5</v>
      </c>
    </row>
    <row r="75" spans="1:4" ht="12">
      <c r="A75" s="37" t="s">
        <v>219</v>
      </c>
      <c r="B75" s="304"/>
      <c r="C75" s="304">
        <f>SUM(C74)</f>
        <v>5000</v>
      </c>
      <c r="D75" s="304">
        <f>SUM(D74)</f>
        <v>5</v>
      </c>
    </row>
    <row r="76" spans="2:4" ht="12">
      <c r="B76" s="304"/>
      <c r="C76" s="304"/>
      <c r="D76" s="304"/>
    </row>
    <row r="77" spans="1:4" s="61" customFormat="1" ht="12">
      <c r="A77" s="61" t="s">
        <v>948</v>
      </c>
      <c r="B77" s="291"/>
      <c r="C77" s="291">
        <f>C75</f>
        <v>5000</v>
      </c>
      <c r="D77" s="291">
        <f>D75</f>
        <v>5</v>
      </c>
    </row>
    <row r="78" spans="2:4" ht="12">
      <c r="B78" s="304"/>
      <c r="C78" s="304"/>
      <c r="D78" s="304"/>
    </row>
    <row r="79" spans="1:4" s="145" customFormat="1" ht="12">
      <c r="A79" s="145" t="s">
        <v>1221</v>
      </c>
      <c r="B79" s="329"/>
      <c r="C79" s="329">
        <f>C64+C77</f>
        <v>275000</v>
      </c>
      <c r="D79" s="329">
        <f>D64+D77</f>
        <v>275</v>
      </c>
    </row>
    <row r="81" ht="12">
      <c r="A81" s="145" t="s">
        <v>1222</v>
      </c>
    </row>
    <row r="83" ht="12">
      <c r="A83" s="61" t="s">
        <v>950</v>
      </c>
    </row>
    <row r="84" ht="12">
      <c r="A84" s="37" t="s">
        <v>951</v>
      </c>
    </row>
    <row r="86" spans="1:4" ht="26.25" customHeight="1">
      <c r="A86" s="363" t="s">
        <v>430</v>
      </c>
      <c r="B86" s="361"/>
      <c r="C86" s="361"/>
      <c r="D86" s="361"/>
    </row>
    <row r="88" ht="12">
      <c r="A88" s="37" t="s">
        <v>255</v>
      </c>
    </row>
    <row r="89" ht="12">
      <c r="A89" s="37" t="s">
        <v>256</v>
      </c>
    </row>
    <row r="91" ht="12">
      <c r="A91" s="37" t="s">
        <v>1068</v>
      </c>
    </row>
    <row r="92" ht="12">
      <c r="A92" s="37" t="s">
        <v>1067</v>
      </c>
    </row>
    <row r="94" ht="12">
      <c r="A94" s="37" t="s">
        <v>1552</v>
      </c>
    </row>
    <row r="95" ht="12">
      <c r="A95" s="37" t="s">
        <v>925</v>
      </c>
    </row>
    <row r="96" ht="12">
      <c r="A96" s="37" t="s">
        <v>772</v>
      </c>
    </row>
    <row r="97" ht="12">
      <c r="A97" s="37" t="s">
        <v>773</v>
      </c>
    </row>
    <row r="98" spans="1:4" ht="12">
      <c r="A98" s="37" t="s">
        <v>774</v>
      </c>
      <c r="C98" s="55">
        <f>B96*B97*B98</f>
        <v>0</v>
      </c>
      <c r="D98" s="55">
        <f>ROUND(C98/1000,0)</f>
        <v>0</v>
      </c>
    </row>
    <row r="99" ht="12">
      <c r="A99" s="37" t="s">
        <v>926</v>
      </c>
    </row>
    <row r="100" spans="1:2" ht="12">
      <c r="A100" s="37" t="s">
        <v>772</v>
      </c>
      <c r="B100" s="55">
        <v>1</v>
      </c>
    </row>
    <row r="101" spans="1:2" ht="12">
      <c r="A101" s="37" t="s">
        <v>773</v>
      </c>
      <c r="B101" s="55">
        <v>2</v>
      </c>
    </row>
    <row r="102" spans="1:4" ht="12">
      <c r="A102" s="37" t="s">
        <v>774</v>
      </c>
      <c r="B102" s="55">
        <v>127374</v>
      </c>
      <c r="C102" s="55">
        <f>B100*B101*B102</f>
        <v>254748</v>
      </c>
      <c r="D102" s="55">
        <f>ROUND(C102/1000,0)</f>
        <v>255</v>
      </c>
    </row>
    <row r="103" ht="12">
      <c r="A103" s="37" t="s">
        <v>772</v>
      </c>
    </row>
    <row r="104" spans="1:2" ht="12">
      <c r="A104" s="37" t="s">
        <v>773</v>
      </c>
      <c r="B104" s="54"/>
    </row>
    <row r="105" spans="1:3" ht="12">
      <c r="A105" s="37" t="s">
        <v>774</v>
      </c>
      <c r="C105" s="55">
        <f>B103*B104*B105</f>
        <v>0</v>
      </c>
    </row>
    <row r="106" spans="1:4" ht="12">
      <c r="A106" s="37" t="s">
        <v>1095</v>
      </c>
      <c r="C106" s="274">
        <f>C98+C102+C105</f>
        <v>254748</v>
      </c>
      <c r="D106" s="274">
        <f>ROUND(C106/1000,0)</f>
        <v>255</v>
      </c>
    </row>
    <row r="107" spans="1:4" ht="12">
      <c r="A107" s="37" t="s">
        <v>1095</v>
      </c>
      <c r="C107" s="274"/>
      <c r="D107" s="274"/>
    </row>
    <row r="108" spans="1:4" ht="12">
      <c r="A108" s="37" t="s">
        <v>1552</v>
      </c>
      <c r="C108" s="274">
        <f>C106+C107</f>
        <v>254748</v>
      </c>
      <c r="D108" s="274">
        <f>D106+D107</f>
        <v>255</v>
      </c>
    </row>
    <row r="109" spans="3:4" ht="12">
      <c r="C109" s="274"/>
      <c r="D109" s="274"/>
    </row>
    <row r="110" spans="1:5" s="9" customFormat="1" ht="12">
      <c r="A110" s="9" t="s">
        <v>166</v>
      </c>
      <c r="B110" s="243"/>
      <c r="C110" s="280">
        <f>C108</f>
        <v>254748</v>
      </c>
      <c r="D110" s="280">
        <f>D108</f>
        <v>255</v>
      </c>
      <c r="E110" s="243"/>
    </row>
    <row r="111" spans="3:4" ht="12">
      <c r="C111" s="304"/>
      <c r="D111" s="304"/>
    </row>
    <row r="112" spans="1:4" s="61" customFormat="1" ht="12">
      <c r="A112" s="61" t="s">
        <v>1096</v>
      </c>
      <c r="B112" s="226"/>
      <c r="C112" s="291">
        <f>C110</f>
        <v>254748</v>
      </c>
      <c r="D112" s="291">
        <f>D110</f>
        <v>255</v>
      </c>
    </row>
    <row r="113" spans="2:4" s="61" customFormat="1" ht="12">
      <c r="B113" s="226"/>
      <c r="C113" s="226"/>
      <c r="D113" s="226"/>
    </row>
    <row r="114" spans="1:4" s="61" customFormat="1" ht="12">
      <c r="A114" s="61" t="s">
        <v>428</v>
      </c>
      <c r="B114" s="226"/>
      <c r="C114" s="226"/>
      <c r="D114" s="226"/>
    </row>
    <row r="115" spans="2:4" s="61" customFormat="1" ht="12">
      <c r="B115" s="226"/>
      <c r="C115" s="226"/>
      <c r="D115" s="226"/>
    </row>
    <row r="116" spans="1:4" s="61" customFormat="1" ht="12.75">
      <c r="A116" s="362" t="s">
        <v>429</v>
      </c>
      <c r="B116" s="357"/>
      <c r="C116" s="357"/>
      <c r="D116" s="357"/>
    </row>
    <row r="117" spans="2:4" s="61" customFormat="1" ht="12">
      <c r="B117" s="226"/>
      <c r="C117" s="226"/>
      <c r="D117" s="226"/>
    </row>
    <row r="118" ht="12">
      <c r="A118" s="9" t="s">
        <v>166</v>
      </c>
    </row>
    <row r="119" spans="1:2" ht="12">
      <c r="A119" s="37" t="s">
        <v>771</v>
      </c>
      <c r="B119" s="63" t="s">
        <v>170</v>
      </c>
    </row>
    <row r="120" spans="1:4" ht="12">
      <c r="A120" s="37" t="s">
        <v>425</v>
      </c>
      <c r="B120" s="274">
        <v>110000</v>
      </c>
      <c r="C120" s="274">
        <f>B120*12</f>
        <v>1320000</v>
      </c>
      <c r="D120" s="274"/>
    </row>
    <row r="121" spans="1:4" ht="12">
      <c r="A121" s="37" t="s">
        <v>426</v>
      </c>
      <c r="B121" s="274">
        <v>20000</v>
      </c>
      <c r="C121" s="274">
        <f>B121*12</f>
        <v>240000</v>
      </c>
      <c r="D121" s="274"/>
    </row>
    <row r="122" spans="1:4" ht="12">
      <c r="A122" s="37" t="s">
        <v>427</v>
      </c>
      <c r="B122" s="274">
        <v>160800</v>
      </c>
      <c r="C122" s="274">
        <f>B122*12</f>
        <v>1929600</v>
      </c>
      <c r="D122" s="274"/>
    </row>
    <row r="123" spans="1:4" ht="12">
      <c r="A123" s="37" t="s">
        <v>771</v>
      </c>
      <c r="B123" s="274">
        <f>SUM(B120:B122)</f>
        <v>290800</v>
      </c>
      <c r="C123" s="274">
        <f>SUM(C120:C122)</f>
        <v>3489600</v>
      </c>
      <c r="D123" s="274">
        <f>ROUND(C123/1000,0)</f>
        <v>3490</v>
      </c>
    </row>
    <row r="124" spans="2:4" s="61" customFormat="1" ht="12">
      <c r="B124" s="291"/>
      <c r="C124" s="291"/>
      <c r="D124" s="291"/>
    </row>
    <row r="125" spans="1:4" s="61" customFormat="1" ht="12">
      <c r="A125" s="9" t="s">
        <v>166</v>
      </c>
      <c r="B125" s="291"/>
      <c r="C125" s="304">
        <f>C123</f>
        <v>3489600</v>
      </c>
      <c r="D125" s="304">
        <f>D123</f>
        <v>3490</v>
      </c>
    </row>
    <row r="126" spans="2:4" s="61" customFormat="1" ht="12">
      <c r="B126" s="291"/>
      <c r="C126" s="291"/>
      <c r="D126" s="291"/>
    </row>
    <row r="127" spans="1:4" s="61" customFormat="1" ht="12">
      <c r="A127" s="61" t="s">
        <v>431</v>
      </c>
      <c r="B127" s="226"/>
      <c r="C127" s="226">
        <f>C125</f>
        <v>3489600</v>
      </c>
      <c r="D127" s="226">
        <f>D125</f>
        <v>3490</v>
      </c>
    </row>
    <row r="129" ht="12">
      <c r="A129" s="61" t="s">
        <v>514</v>
      </c>
    </row>
    <row r="131" spans="1:4" ht="43.5" customHeight="1">
      <c r="A131" s="363" t="s">
        <v>101</v>
      </c>
      <c r="B131" s="361"/>
      <c r="C131" s="361"/>
      <c r="D131" s="361"/>
    </row>
    <row r="133" ht="12">
      <c r="A133" s="37" t="s">
        <v>255</v>
      </c>
    </row>
    <row r="134" ht="12">
      <c r="A134" s="37" t="s">
        <v>102</v>
      </c>
    </row>
    <row r="136" ht="12">
      <c r="A136" s="37" t="s">
        <v>1547</v>
      </c>
    </row>
    <row r="137" spans="1:4" ht="12">
      <c r="A137" s="37" t="s">
        <v>1097</v>
      </c>
      <c r="B137" s="273" t="s">
        <v>844</v>
      </c>
      <c r="C137" s="304"/>
      <c r="D137" s="304"/>
    </row>
    <row r="138" spans="1:4" ht="12">
      <c r="A138" s="37" t="s">
        <v>384</v>
      </c>
      <c r="B138" s="304">
        <v>193000</v>
      </c>
      <c r="C138" s="304"/>
      <c r="D138" s="304"/>
    </row>
    <row r="139" spans="1:4" ht="12">
      <c r="A139" s="37" t="s">
        <v>1097</v>
      </c>
      <c r="B139" s="304"/>
      <c r="C139" s="304">
        <v>171500</v>
      </c>
      <c r="D139" s="304">
        <v>172</v>
      </c>
    </row>
    <row r="140" spans="2:4" ht="12">
      <c r="B140" s="304"/>
      <c r="C140" s="304"/>
      <c r="D140" s="304"/>
    </row>
    <row r="141" spans="1:4" s="61" customFormat="1" ht="12">
      <c r="A141" s="61" t="s">
        <v>515</v>
      </c>
      <c r="B141" s="291"/>
      <c r="C141" s="291">
        <f>SUM(C139:C140)</f>
        <v>171500</v>
      </c>
      <c r="D141" s="291">
        <f>SUM(D139:D140)</f>
        <v>172</v>
      </c>
    </row>
    <row r="142" spans="2:4" s="61" customFormat="1" ht="12">
      <c r="B142" s="291"/>
      <c r="C142" s="291"/>
      <c r="D142" s="291"/>
    </row>
    <row r="144" spans="1:4" s="145" customFormat="1" ht="12">
      <c r="A144" s="145" t="s">
        <v>949</v>
      </c>
      <c r="B144" s="297"/>
      <c r="C144" s="241">
        <f>C112+C127+C141</f>
        <v>3915848</v>
      </c>
      <c r="D144" s="241">
        <f>D112+D127+D141</f>
        <v>3917</v>
      </c>
    </row>
    <row r="146" ht="12">
      <c r="A146" s="145" t="s">
        <v>1225</v>
      </c>
    </row>
    <row r="148" ht="12">
      <c r="A148" s="61" t="s">
        <v>104</v>
      </c>
    </row>
    <row r="150" spans="1:4" ht="30" customHeight="1">
      <c r="A150" s="363" t="s">
        <v>105</v>
      </c>
      <c r="B150" s="361"/>
      <c r="C150" s="361"/>
      <c r="D150" s="361"/>
    </row>
    <row r="152" ht="12">
      <c r="A152" s="37" t="s">
        <v>106</v>
      </c>
    </row>
    <row r="153" ht="12">
      <c r="A153" s="37" t="s">
        <v>107</v>
      </c>
    </row>
    <row r="154" ht="12">
      <c r="A154" s="37" t="s">
        <v>108</v>
      </c>
    </row>
    <row r="156" spans="1:2" ht="12">
      <c r="A156" s="9" t="s">
        <v>1223</v>
      </c>
      <c r="B156" s="243"/>
    </row>
    <row r="158" ht="12">
      <c r="A158" s="37" t="s">
        <v>109</v>
      </c>
    </row>
    <row r="159" spans="1:4" ht="12">
      <c r="A159" s="37" t="s">
        <v>110</v>
      </c>
      <c r="B159" s="274">
        <f>étk!$C$29</f>
        <v>23</v>
      </c>
      <c r="C159" s="274"/>
      <c r="D159" s="274"/>
    </row>
    <row r="160" spans="1:4" ht="12">
      <c r="A160" s="37" t="s">
        <v>111</v>
      </c>
      <c r="B160" s="274">
        <f>étk!$B$10+étk!$B$11</f>
        <v>41</v>
      </c>
      <c r="C160" s="274"/>
      <c r="D160" s="274"/>
    </row>
    <row r="161" spans="1:4" ht="12">
      <c r="A161" s="37" t="s">
        <v>112</v>
      </c>
      <c r="B161" s="274">
        <f>étk!$B$23-étk!$B$10-étk!$B$11</f>
        <v>154</v>
      </c>
      <c r="C161" s="274"/>
      <c r="D161" s="274"/>
    </row>
    <row r="162" spans="1:4" ht="12">
      <c r="A162" s="37" t="s">
        <v>113</v>
      </c>
      <c r="B162" s="325">
        <f>étk!$L$23</f>
        <v>0.7786080273270709</v>
      </c>
      <c r="C162" s="274"/>
      <c r="D162" s="274"/>
    </row>
    <row r="163" spans="1:4" ht="12">
      <c r="A163" s="37" t="s">
        <v>114</v>
      </c>
      <c r="B163" s="274">
        <v>171</v>
      </c>
      <c r="C163" s="274"/>
      <c r="D163" s="274"/>
    </row>
    <row r="164" spans="1:4" ht="12">
      <c r="A164" s="37" t="s">
        <v>115</v>
      </c>
      <c r="B164" s="274">
        <v>171</v>
      </c>
      <c r="C164" s="274"/>
      <c r="D164" s="274"/>
    </row>
    <row r="165" spans="1:4" ht="12">
      <c r="A165" s="37" t="s">
        <v>353</v>
      </c>
      <c r="B165" s="274"/>
      <c r="C165" s="274">
        <f>B159*B160*B163*B162</f>
        <v>125552.88023057216</v>
      </c>
      <c r="D165" s="274"/>
    </row>
    <row r="166" spans="1:4" ht="12">
      <c r="A166" s="37" t="s">
        <v>362</v>
      </c>
      <c r="B166" s="274"/>
      <c r="C166" s="274">
        <f>B159*B161*B162*B164</f>
        <v>471588.86720751494</v>
      </c>
      <c r="D166" s="274"/>
    </row>
    <row r="167" spans="1:4" ht="12">
      <c r="A167" s="37" t="s">
        <v>363</v>
      </c>
      <c r="B167" s="274"/>
      <c r="C167" s="340">
        <f>SUM(C165:C166)</f>
        <v>597141.7474380871</v>
      </c>
      <c r="D167" s="274">
        <f>ROUND(C167/1000,0)</f>
        <v>597</v>
      </c>
    </row>
    <row r="168" spans="2:4" ht="12">
      <c r="B168" s="274"/>
      <c r="C168" s="274"/>
      <c r="D168" s="274"/>
    </row>
    <row r="169" spans="2:4" ht="12">
      <c r="B169" s="292" t="s">
        <v>316</v>
      </c>
      <c r="C169" s="292" t="s">
        <v>789</v>
      </c>
      <c r="D169" s="304"/>
    </row>
    <row r="170" spans="1:4" ht="12">
      <c r="A170" s="37" t="s">
        <v>116</v>
      </c>
      <c r="B170" s="304">
        <f>C167</f>
        <v>597141.7474380871</v>
      </c>
      <c r="C170" s="298">
        <v>161428</v>
      </c>
      <c r="D170" s="304">
        <f>ROUND(C170/1000,0)+1</f>
        <v>162</v>
      </c>
    </row>
    <row r="172" spans="1:4" s="61" customFormat="1" ht="12">
      <c r="A172" s="61" t="s">
        <v>117</v>
      </c>
      <c r="B172" s="226"/>
      <c r="C172" s="226">
        <f>C167+C170</f>
        <v>758569.7474380871</v>
      </c>
      <c r="D172" s="226">
        <f>D167+D170</f>
        <v>759</v>
      </c>
    </row>
    <row r="174" ht="12">
      <c r="A174" s="61" t="s">
        <v>352</v>
      </c>
    </row>
    <row r="176" spans="1:4" ht="29.25" customHeight="1">
      <c r="A176" s="363" t="s">
        <v>365</v>
      </c>
      <c r="B176" s="361"/>
      <c r="C176" s="361"/>
      <c r="D176" s="361"/>
    </row>
    <row r="178" ht="12">
      <c r="A178" s="37" t="s">
        <v>106</v>
      </c>
    </row>
    <row r="179" ht="12">
      <c r="A179" s="37" t="s">
        <v>107</v>
      </c>
    </row>
    <row r="180" ht="12">
      <c r="A180" s="37" t="s">
        <v>108</v>
      </c>
    </row>
    <row r="182" spans="1:2" ht="12">
      <c r="A182" s="9" t="s">
        <v>364</v>
      </c>
      <c r="B182" s="243"/>
    </row>
    <row r="184" ht="12">
      <c r="A184" s="37" t="s">
        <v>109</v>
      </c>
    </row>
    <row r="185" ht="12">
      <c r="A185" s="37" t="s">
        <v>366</v>
      </c>
    </row>
    <row r="186" spans="1:2" ht="12">
      <c r="A186" s="37" t="s">
        <v>367</v>
      </c>
      <c r="B186" s="55">
        <f>étk!$O$29</f>
        <v>16</v>
      </c>
    </row>
    <row r="187" spans="1:2" ht="12">
      <c r="A187" s="37" t="s">
        <v>111</v>
      </c>
      <c r="B187" s="55">
        <f>étk!$N$10+étk!$N$11</f>
        <v>41</v>
      </c>
    </row>
    <row r="188" spans="1:2" ht="12">
      <c r="A188" s="37" t="s">
        <v>112</v>
      </c>
      <c r="B188" s="55">
        <f>étk!$N$23-étk!$N$10-étk!$N$11</f>
        <v>140</v>
      </c>
    </row>
    <row r="189" spans="1:2" ht="12">
      <c r="A189" s="37" t="s">
        <v>113</v>
      </c>
      <c r="B189" s="234">
        <f>étk!$U$23</f>
        <v>0.824616122840691</v>
      </c>
    </row>
    <row r="190" spans="1:4" ht="12">
      <c r="A190" s="37" t="s">
        <v>114</v>
      </c>
      <c r="B190" s="55">
        <v>140</v>
      </c>
      <c r="C190" s="274">
        <f>B186*B187*B189*B190</f>
        <v>75732.74472168906</v>
      </c>
      <c r="D190" s="274"/>
    </row>
    <row r="191" spans="1:4" ht="12">
      <c r="A191" s="37" t="s">
        <v>115</v>
      </c>
      <c r="B191" s="55">
        <v>140</v>
      </c>
      <c r="C191" s="274">
        <f>B186*B188*B189*B191</f>
        <v>258599.6161228407</v>
      </c>
      <c r="D191" s="274"/>
    </row>
    <row r="192" spans="3:4" ht="12">
      <c r="C192" s="274">
        <f>SUM(C190:C191)</f>
        <v>334332.36084452976</v>
      </c>
      <c r="D192" s="274">
        <f>ROUND(C192/1000,0)</f>
        <v>334</v>
      </c>
    </row>
    <row r="193" spans="1:4" ht="12">
      <c r="A193" s="37" t="s">
        <v>790</v>
      </c>
      <c r="C193" s="274"/>
      <c r="D193" s="274"/>
    </row>
    <row r="194" spans="1:4" ht="12">
      <c r="A194" s="37" t="s">
        <v>367</v>
      </c>
      <c r="B194" s="55">
        <f>étk!$X$29</f>
        <v>40</v>
      </c>
      <c r="C194" s="274"/>
      <c r="D194" s="274"/>
    </row>
    <row r="195" spans="1:4" ht="12">
      <c r="A195" s="37" t="s">
        <v>111</v>
      </c>
      <c r="B195" s="55">
        <f>étk!$N$10+étk!$N$11</f>
        <v>41</v>
      </c>
      <c r="C195" s="274"/>
      <c r="D195" s="274"/>
    </row>
    <row r="196" spans="1:4" ht="12">
      <c r="A196" s="37" t="s">
        <v>112</v>
      </c>
      <c r="B196" s="55">
        <f>étk!$N$23-étk!$N$10-étk!$N$11</f>
        <v>140</v>
      </c>
      <c r="C196" s="274"/>
      <c r="D196" s="274"/>
    </row>
    <row r="197" spans="1:4" ht="12">
      <c r="A197" s="37" t="s">
        <v>113</v>
      </c>
      <c r="B197" s="234">
        <f>étk!$AE$23</f>
        <v>0.8601950766372504</v>
      </c>
      <c r="C197" s="274"/>
      <c r="D197" s="274"/>
    </row>
    <row r="198" spans="1:4" ht="12">
      <c r="A198" s="37" t="s">
        <v>114</v>
      </c>
      <c r="B198" s="55">
        <v>240</v>
      </c>
      <c r="C198" s="274">
        <f>B194*B195*B197*B198</f>
        <v>338572.78216442175</v>
      </c>
      <c r="D198" s="274"/>
    </row>
    <row r="199" spans="1:4" ht="12">
      <c r="A199" s="37" t="s">
        <v>115</v>
      </c>
      <c r="B199" s="55">
        <v>240</v>
      </c>
      <c r="C199" s="274">
        <f>B194*B196*B197*B199</f>
        <v>1156102.1830004645</v>
      </c>
      <c r="D199" s="274"/>
    </row>
    <row r="200" spans="3:4" ht="12">
      <c r="C200" s="340">
        <f>SUM(C198:C199)</f>
        <v>1494674.9651648863</v>
      </c>
      <c r="D200" s="274">
        <f>ROUND(C200/1000,0)</f>
        <v>1495</v>
      </c>
    </row>
    <row r="201" spans="3:4" ht="12">
      <c r="C201" s="274"/>
      <c r="D201" s="274"/>
    </row>
    <row r="202" spans="1:4" ht="12">
      <c r="A202" s="37" t="s">
        <v>109</v>
      </c>
      <c r="C202" s="274">
        <v>2476000</v>
      </c>
      <c r="D202" s="274">
        <f>ROUND(C202/1000,0)</f>
        <v>2476</v>
      </c>
    </row>
    <row r="203" spans="3:4" ht="12">
      <c r="C203" s="274"/>
      <c r="D203" s="274"/>
    </row>
    <row r="204" spans="2:4" ht="12">
      <c r="B204" s="14" t="s">
        <v>316</v>
      </c>
      <c r="C204" s="292" t="s">
        <v>789</v>
      </c>
      <c r="D204" s="304"/>
    </row>
    <row r="205" spans="1:4" ht="12">
      <c r="A205" s="37" t="s">
        <v>116</v>
      </c>
      <c r="B205" s="55">
        <f>C202</f>
        <v>2476000</v>
      </c>
      <c r="C205" s="298">
        <v>386350</v>
      </c>
      <c r="D205" s="304">
        <f>ROUND(C205/1000,0)</f>
        <v>386</v>
      </c>
    </row>
    <row r="206" spans="3:4" ht="12">
      <c r="C206" s="304"/>
      <c r="D206" s="304"/>
    </row>
    <row r="207" spans="1:4" s="61" customFormat="1" ht="12">
      <c r="A207" s="61" t="s">
        <v>368</v>
      </c>
      <c r="B207" s="226"/>
      <c r="C207" s="291">
        <f>C202+C205</f>
        <v>2862350</v>
      </c>
      <c r="D207" s="291">
        <f>D202+D205</f>
        <v>2862</v>
      </c>
    </row>
    <row r="208" spans="2:4" s="61" customFormat="1" ht="12">
      <c r="B208" s="226"/>
      <c r="C208" s="226"/>
      <c r="D208" s="226"/>
    </row>
    <row r="209" ht="12">
      <c r="A209" s="61" t="s">
        <v>369</v>
      </c>
    </row>
    <row r="211" spans="1:4" ht="25.5" customHeight="1">
      <c r="A211" s="363" t="s">
        <v>919</v>
      </c>
      <c r="B211" s="361"/>
      <c r="C211" s="361"/>
      <c r="D211" s="361"/>
    </row>
    <row r="213" ht="12">
      <c r="A213" s="37" t="s">
        <v>255</v>
      </c>
    </row>
    <row r="214" ht="12">
      <c r="A214" s="37" t="s">
        <v>256</v>
      </c>
    </row>
    <row r="216" spans="1:4" ht="12">
      <c r="A216" s="358" t="s">
        <v>791</v>
      </c>
      <c r="B216" s="361"/>
      <c r="C216" s="361"/>
      <c r="D216" s="361"/>
    </row>
    <row r="218" ht="12">
      <c r="A218" s="9" t="s">
        <v>364</v>
      </c>
    </row>
    <row r="220" ht="12">
      <c r="A220" s="37" t="s">
        <v>370</v>
      </c>
    </row>
    <row r="221" ht="12">
      <c r="A221" s="37" t="s">
        <v>921</v>
      </c>
    </row>
    <row r="222" spans="1:2" ht="12">
      <c r="A222" s="37" t="s">
        <v>1542</v>
      </c>
      <c r="B222" s="55">
        <f>étk!$AH$29</f>
        <v>0</v>
      </c>
    </row>
    <row r="223" spans="1:2" ht="12">
      <c r="A223" s="37" t="s">
        <v>1543</v>
      </c>
      <c r="B223" s="234">
        <v>0.8</v>
      </c>
    </row>
    <row r="224" spans="1:2" ht="12">
      <c r="A224" s="37" t="s">
        <v>922</v>
      </c>
      <c r="B224" s="55">
        <f>étk!$AG$10+étk!$AG$11</f>
        <v>41</v>
      </c>
    </row>
    <row r="225" spans="1:2" ht="12">
      <c r="A225" s="37" t="s">
        <v>928</v>
      </c>
      <c r="B225" s="55">
        <f>étk!$AG$23-étk!$AG$10-étk!$AG$11</f>
        <v>190</v>
      </c>
    </row>
    <row r="226" ht="12">
      <c r="A226" s="37" t="s">
        <v>920</v>
      </c>
    </row>
    <row r="227" spans="1:3" ht="12">
      <c r="A227" s="37" t="s">
        <v>696</v>
      </c>
      <c r="C227" s="55">
        <f>B222*B224*B223*B227</f>
        <v>0</v>
      </c>
    </row>
    <row r="228" spans="1:3" ht="12">
      <c r="A228" s="37" t="s">
        <v>697</v>
      </c>
      <c r="C228" s="55">
        <f>B222*B225*B223*B228</f>
        <v>0</v>
      </c>
    </row>
    <row r="229" spans="1:4" ht="12">
      <c r="A229" s="37" t="s">
        <v>921</v>
      </c>
      <c r="C229" s="55">
        <f>SUM(C227:C228)</f>
        <v>0</v>
      </c>
      <c r="D229" s="55">
        <f>ROUND(C229/1000,0)</f>
        <v>0</v>
      </c>
    </row>
    <row r="231" ht="12">
      <c r="A231" s="37" t="s">
        <v>370</v>
      </c>
    </row>
    <row r="232" ht="12">
      <c r="A232" s="37" t="s">
        <v>371</v>
      </c>
    </row>
    <row r="233" spans="1:2" ht="12">
      <c r="A233" s="37" t="s">
        <v>1542</v>
      </c>
      <c r="B233" s="55">
        <f>étk!$AI$29</f>
        <v>8</v>
      </c>
    </row>
    <row r="234" spans="1:2" ht="12">
      <c r="A234" s="37" t="s">
        <v>1543</v>
      </c>
      <c r="B234" s="234">
        <v>0.8</v>
      </c>
    </row>
    <row r="235" spans="1:2" ht="12">
      <c r="A235" s="37" t="s">
        <v>922</v>
      </c>
      <c r="B235" s="55">
        <f>étk!$AG$10+étk!$AG$11</f>
        <v>41</v>
      </c>
    </row>
    <row r="236" spans="1:2" ht="12">
      <c r="A236" s="37" t="s">
        <v>928</v>
      </c>
      <c r="B236" s="55">
        <f>étk!$AG$23-étk!$AG$10-étk!$AG$11</f>
        <v>190</v>
      </c>
    </row>
    <row r="237" ht="12">
      <c r="A237" s="37" t="s">
        <v>698</v>
      </c>
    </row>
    <row r="238" spans="1:3" ht="12">
      <c r="A238" s="37" t="s">
        <v>699</v>
      </c>
      <c r="B238" s="55">
        <v>375</v>
      </c>
      <c r="C238" s="55">
        <f>B233*B235*B234*B238</f>
        <v>98400.00000000001</v>
      </c>
    </row>
    <row r="239" spans="1:3" ht="12">
      <c r="A239" s="37" t="s">
        <v>700</v>
      </c>
      <c r="B239" s="55">
        <v>375</v>
      </c>
      <c r="C239" s="55">
        <f>B233*B236*B234*B239</f>
        <v>456000</v>
      </c>
    </row>
    <row r="240" spans="1:4" ht="12">
      <c r="A240" s="37" t="s">
        <v>701</v>
      </c>
      <c r="C240" s="55">
        <f>SUM(C238:C239)</f>
        <v>554400</v>
      </c>
      <c r="D240" s="55">
        <f>ROUND(C240/1000,0)</f>
        <v>554</v>
      </c>
    </row>
    <row r="242" spans="1:4" ht="12">
      <c r="A242" s="37" t="s">
        <v>370</v>
      </c>
      <c r="C242" s="55">
        <f>C229+C240</f>
        <v>554400</v>
      </c>
      <c r="D242" s="55">
        <f>D229+D240</f>
        <v>554</v>
      </c>
    </row>
    <row r="244" spans="2:3" ht="12">
      <c r="B244" s="14" t="s">
        <v>316</v>
      </c>
      <c r="C244" s="14" t="s">
        <v>789</v>
      </c>
    </row>
    <row r="245" spans="1:4" ht="12">
      <c r="A245" s="37" t="s">
        <v>116</v>
      </c>
      <c r="B245" s="55">
        <f>C242</f>
        <v>554400</v>
      </c>
      <c r="C245" s="55">
        <f>B245*20%</f>
        <v>110880</v>
      </c>
      <c r="D245" s="55">
        <f>ROUND(C245/1000,0)</f>
        <v>111</v>
      </c>
    </row>
    <row r="246" spans="2:4" s="61" customFormat="1" ht="12">
      <c r="B246" s="226"/>
      <c r="C246" s="226"/>
      <c r="D246" s="226"/>
    </row>
    <row r="247" spans="1:4" s="61" customFormat="1" ht="12">
      <c r="A247" s="61" t="s">
        <v>792</v>
      </c>
      <c r="B247" s="226"/>
      <c r="C247" s="226"/>
      <c r="D247" s="226"/>
    </row>
    <row r="249" ht="12">
      <c r="A249" s="37" t="s">
        <v>195</v>
      </c>
    </row>
    <row r="250" ht="12">
      <c r="A250" s="37" t="s">
        <v>702</v>
      </c>
    </row>
    <row r="251" spans="1:4" ht="12">
      <c r="A251" s="37" t="s">
        <v>1542</v>
      </c>
      <c r="B251" s="274">
        <f>étk!$AL$29</f>
        <v>22</v>
      </c>
      <c r="C251" s="274"/>
      <c r="D251" s="274"/>
    </row>
    <row r="252" spans="1:4" ht="12">
      <c r="A252" s="37" t="s">
        <v>1543</v>
      </c>
      <c r="B252" s="325">
        <v>0.8</v>
      </c>
      <c r="C252" s="274"/>
      <c r="D252" s="274"/>
    </row>
    <row r="253" spans="1:4" ht="12">
      <c r="A253" s="37" t="s">
        <v>922</v>
      </c>
      <c r="B253" s="274">
        <f>étk!$AG$10+étk!$AG$11</f>
        <v>41</v>
      </c>
      <c r="C253" s="274"/>
      <c r="D253" s="274"/>
    </row>
    <row r="254" spans="1:4" ht="12">
      <c r="A254" s="37" t="s">
        <v>928</v>
      </c>
      <c r="B254" s="274">
        <f>étk!$AG$23-étk!$AG$10-étk!$AG$11</f>
        <v>190</v>
      </c>
      <c r="C254" s="274"/>
      <c r="D254" s="274"/>
    </row>
    <row r="255" spans="2:4" ht="12">
      <c r="B255" s="274"/>
      <c r="C255" s="274"/>
      <c r="D255" s="274"/>
    </row>
    <row r="256" spans="1:4" ht="12">
      <c r="A256" s="37" t="s">
        <v>699</v>
      </c>
      <c r="B256" s="274">
        <v>450</v>
      </c>
      <c r="C256" s="274">
        <f>B251*B253*B252*B256</f>
        <v>324720</v>
      </c>
      <c r="D256" s="274"/>
    </row>
    <row r="257" spans="1:4" ht="12">
      <c r="A257" s="37" t="s">
        <v>700</v>
      </c>
      <c r="B257" s="274">
        <v>450</v>
      </c>
      <c r="C257" s="274">
        <f>B251*B254*B252*B257</f>
        <v>1504800</v>
      </c>
      <c r="D257" s="274"/>
    </row>
    <row r="258" spans="1:4" ht="12">
      <c r="A258" s="37" t="s">
        <v>195</v>
      </c>
      <c r="B258" s="274"/>
      <c r="C258" s="340">
        <v>3422000</v>
      </c>
      <c r="D258" s="274">
        <f>ROUND(C258/1000,0)</f>
        <v>3422</v>
      </c>
    </row>
    <row r="259" spans="2:4" ht="12">
      <c r="B259" s="292" t="s">
        <v>316</v>
      </c>
      <c r="C259" s="292" t="s">
        <v>789</v>
      </c>
      <c r="D259" s="304"/>
    </row>
    <row r="260" spans="1:4" ht="12">
      <c r="A260" s="37" t="s">
        <v>116</v>
      </c>
      <c r="B260" s="304">
        <f>C258</f>
        <v>3422000</v>
      </c>
      <c r="C260" s="298">
        <v>793000</v>
      </c>
      <c r="D260" s="304">
        <f>ROUND(C260/1000,0)</f>
        <v>793</v>
      </c>
    </row>
    <row r="261" spans="2:4" ht="12">
      <c r="B261" s="304"/>
      <c r="C261" s="304"/>
      <c r="D261" s="304"/>
    </row>
    <row r="262" spans="1:4" s="61" customFormat="1" ht="12">
      <c r="A262" s="61" t="s">
        <v>372</v>
      </c>
      <c r="B262" s="291"/>
      <c r="C262" s="291">
        <f>C258+C260</f>
        <v>4215000</v>
      </c>
      <c r="D262" s="291">
        <f>D258+D260</f>
        <v>4215</v>
      </c>
    </row>
    <row r="263" spans="1:4" s="145" customFormat="1" ht="12">
      <c r="A263" s="37"/>
      <c r="B263" s="55"/>
      <c r="C263" s="55"/>
      <c r="D263" s="55"/>
    </row>
    <row r="264" spans="1:4" ht="12">
      <c r="A264" s="145" t="s">
        <v>103</v>
      </c>
      <c r="B264" s="241"/>
      <c r="C264" s="241">
        <f>C172+C207+C262</f>
        <v>7835919.747438087</v>
      </c>
      <c r="D264" s="241">
        <f>D172+D207+D262</f>
        <v>7836</v>
      </c>
    </row>
    <row r="266" ht="12">
      <c r="A266" s="145" t="s">
        <v>1224</v>
      </c>
    </row>
    <row r="268" ht="12">
      <c r="A268" s="61" t="s">
        <v>376</v>
      </c>
    </row>
    <row r="269" ht="27.75" customHeight="1"/>
    <row r="270" spans="1:4" ht="12">
      <c r="A270" s="363" t="s">
        <v>377</v>
      </c>
      <c r="B270" s="361"/>
      <c r="C270" s="361"/>
      <c r="D270" s="361"/>
    </row>
    <row r="272" ht="12">
      <c r="A272" s="9" t="s">
        <v>378</v>
      </c>
    </row>
    <row r="273" ht="12">
      <c r="B273" s="63" t="s">
        <v>665</v>
      </c>
    </row>
    <row r="274" spans="1:2" ht="12">
      <c r="A274" s="37" t="s">
        <v>379</v>
      </c>
      <c r="B274" s="13">
        <v>1429500</v>
      </c>
    </row>
    <row r="275" ht="12">
      <c r="B275" s="13"/>
    </row>
    <row r="276" spans="1:2" ht="12">
      <c r="A276" s="37" t="s">
        <v>1098</v>
      </c>
      <c r="B276" s="13">
        <v>319</v>
      </c>
    </row>
    <row r="277" spans="1:3" ht="12">
      <c r="A277" s="37" t="s">
        <v>1099</v>
      </c>
      <c r="B277" s="13">
        <v>7000</v>
      </c>
      <c r="C277" s="55">
        <f>B276*85%*B277</f>
        <v>1898049.9999999998</v>
      </c>
    </row>
    <row r="278" spans="1:3" ht="12">
      <c r="A278" s="37" t="s">
        <v>1099</v>
      </c>
      <c r="B278" s="13">
        <v>3000</v>
      </c>
      <c r="C278" s="55">
        <f>B276*15%*B278</f>
        <v>143550</v>
      </c>
    </row>
    <row r="279" spans="1:4" ht="12">
      <c r="A279" s="37" t="s">
        <v>379</v>
      </c>
      <c r="B279" s="13"/>
      <c r="C279" s="298">
        <f>SUM(C277:C278)</f>
        <v>2041599.9999999998</v>
      </c>
      <c r="D279" s="298">
        <f>ROUND(C279/1000,0)</f>
        <v>2042</v>
      </c>
    </row>
    <row r="280" spans="1:4" ht="12">
      <c r="A280" s="37" t="s">
        <v>380</v>
      </c>
      <c r="B280" s="13">
        <v>31900</v>
      </c>
      <c r="C280" s="298">
        <v>60000</v>
      </c>
      <c r="D280" s="55">
        <f>ROUND(C280/1000,0)</f>
        <v>60</v>
      </c>
    </row>
    <row r="281" spans="1:4" ht="12">
      <c r="A281" s="37" t="s">
        <v>1340</v>
      </c>
      <c r="B281" s="13">
        <v>87000</v>
      </c>
      <c r="C281" s="298">
        <v>1650000</v>
      </c>
      <c r="D281" s="55">
        <f>ROUND(C281/1000,0)</f>
        <v>1650</v>
      </c>
    </row>
    <row r="282" spans="1:4" ht="12">
      <c r="A282" s="37" t="s">
        <v>381</v>
      </c>
      <c r="B282" s="13">
        <v>68000</v>
      </c>
      <c r="C282" s="298">
        <v>129000</v>
      </c>
      <c r="D282" s="55">
        <f>ROUND(C282/1000,0)</f>
        <v>129</v>
      </c>
    </row>
    <row r="283" spans="1:4" s="9" customFormat="1" ht="12">
      <c r="A283" s="37"/>
      <c r="B283" s="13">
        <f>SUM(B274:B282)</f>
        <v>1626719</v>
      </c>
      <c r="C283" s="55"/>
      <c r="D283" s="55"/>
    </row>
    <row r="284" spans="1:4" ht="12">
      <c r="A284" s="9" t="s">
        <v>382</v>
      </c>
      <c r="B284" s="243"/>
      <c r="C284" s="243">
        <f>SUM(C279:C283)</f>
        <v>3880600</v>
      </c>
      <c r="D284" s="243">
        <f>SUM(D279:D283)</f>
        <v>3881</v>
      </c>
    </row>
    <row r="286" ht="12">
      <c r="A286" s="9" t="s">
        <v>383</v>
      </c>
    </row>
    <row r="288" ht="12">
      <c r="A288" s="244" t="s">
        <v>703</v>
      </c>
    </row>
    <row r="289" spans="1:2" ht="12">
      <c r="A289" s="37" t="s">
        <v>35</v>
      </c>
      <c r="B289" s="55">
        <v>808</v>
      </c>
    </row>
    <row r="290" ht="12">
      <c r="A290" s="37" t="s">
        <v>1184</v>
      </c>
    </row>
    <row r="291" spans="1:4" ht="12">
      <c r="A291" s="37" t="s">
        <v>1341</v>
      </c>
      <c r="C291" s="298">
        <v>5677253</v>
      </c>
      <c r="D291" s="298">
        <f>ROUND(C291/1000,0)</f>
        <v>5677</v>
      </c>
    </row>
    <row r="292" ht="12">
      <c r="A292" s="37" t="s">
        <v>1185</v>
      </c>
    </row>
    <row r="293" spans="1:2" ht="12">
      <c r="A293" s="37" t="s">
        <v>1186</v>
      </c>
      <c r="B293" s="243">
        <f>C291/B289</f>
        <v>7026.303217821782</v>
      </c>
    </row>
    <row r="294" spans="1:2" ht="12">
      <c r="A294" s="37" t="s">
        <v>1187</v>
      </c>
      <c r="B294" s="243">
        <f>B295-B293-B296</f>
        <v>461.93069306930556</v>
      </c>
    </row>
    <row r="295" spans="1:2" ht="12">
      <c r="A295" s="37" t="s">
        <v>1188</v>
      </c>
      <c r="B295" s="243">
        <v>36300</v>
      </c>
    </row>
    <row r="296" spans="1:4" ht="12">
      <c r="A296" s="37" t="s">
        <v>1185</v>
      </c>
      <c r="B296" s="243">
        <f>C296/B289</f>
        <v>28811.76608910891</v>
      </c>
      <c r="C296" s="298">
        <v>23279907</v>
      </c>
      <c r="D296" s="298">
        <f>ROUND(C296/1000,0)</f>
        <v>23280</v>
      </c>
    </row>
    <row r="297" spans="1:4" ht="12">
      <c r="A297" s="37" t="s">
        <v>1189</v>
      </c>
      <c r="D297" s="55">
        <f>ROUND(C297/1000,0)</f>
        <v>0</v>
      </c>
    </row>
    <row r="299" ht="12">
      <c r="A299" s="9" t="s">
        <v>1191</v>
      </c>
    </row>
    <row r="300" spans="1:4" ht="12">
      <c r="A300" s="9" t="s">
        <v>1192</v>
      </c>
      <c r="B300" s="243"/>
      <c r="C300" s="243"/>
      <c r="D300" s="243"/>
    </row>
    <row r="301" spans="1:4" ht="12">
      <c r="A301" s="9" t="s">
        <v>1193</v>
      </c>
      <c r="B301" s="243"/>
      <c r="C301" s="243">
        <v>2028080</v>
      </c>
      <c r="D301" s="243">
        <f>ROUND(C301/1000,0)</f>
        <v>2028</v>
      </c>
    </row>
    <row r="302" spans="1:4" ht="12">
      <c r="A302" s="37" t="s">
        <v>1194</v>
      </c>
      <c r="C302" s="298">
        <f>C291+C296+C297</f>
        <v>28957160</v>
      </c>
      <c r="D302" s="298">
        <f>D291+D296+D297</f>
        <v>28957</v>
      </c>
    </row>
    <row r="304" ht="12">
      <c r="B304" s="63" t="s">
        <v>36</v>
      </c>
    </row>
    <row r="305" spans="1:4" ht="12">
      <c r="A305" s="244" t="s">
        <v>210</v>
      </c>
      <c r="B305" s="13">
        <v>1692601</v>
      </c>
      <c r="C305" s="298">
        <v>2240000</v>
      </c>
      <c r="D305" s="299">
        <f>ROUND(C305/1000,0)</f>
        <v>2240</v>
      </c>
    </row>
    <row r="307" ht="12">
      <c r="B307" s="63" t="s">
        <v>36</v>
      </c>
    </row>
    <row r="308" spans="1:4" ht="12">
      <c r="A308" s="37" t="s">
        <v>1195</v>
      </c>
      <c r="B308" s="55">
        <v>0</v>
      </c>
      <c r="C308" s="55">
        <v>0</v>
      </c>
      <c r="D308" s="55">
        <v>0</v>
      </c>
    </row>
    <row r="309" spans="1:4" s="9" customFormat="1" ht="12">
      <c r="A309" s="37" t="s">
        <v>3</v>
      </c>
      <c r="B309" s="55">
        <v>0</v>
      </c>
      <c r="C309" s="55">
        <v>0</v>
      </c>
      <c r="D309" s="55">
        <v>0</v>
      </c>
    </row>
    <row r="310" spans="1:4" ht="12">
      <c r="A310" s="9" t="s">
        <v>1196</v>
      </c>
      <c r="B310" s="243"/>
      <c r="C310" s="243">
        <f>C302+C305+C308</f>
        <v>31197160</v>
      </c>
      <c r="D310" s="243">
        <f>D302+D305+D308</f>
        <v>31197</v>
      </c>
    </row>
    <row r="312" ht="12">
      <c r="B312" s="63" t="s">
        <v>844</v>
      </c>
    </row>
    <row r="313" spans="1:4" ht="12">
      <c r="A313" s="37" t="s">
        <v>1026</v>
      </c>
      <c r="B313" s="55">
        <v>3950</v>
      </c>
      <c r="C313" s="298">
        <v>4000</v>
      </c>
      <c r="D313" s="243">
        <f>ROUND(C313/1000,0)</f>
        <v>4</v>
      </c>
    </row>
    <row r="315" ht="12">
      <c r="B315" s="63" t="s">
        <v>844</v>
      </c>
    </row>
    <row r="316" ht="12">
      <c r="A316" s="37" t="s">
        <v>1197</v>
      </c>
    </row>
    <row r="317" ht="12">
      <c r="A317" s="37" t="s">
        <v>1198</v>
      </c>
    </row>
    <row r="318" spans="1:4" ht="12">
      <c r="A318" s="9" t="s">
        <v>1199</v>
      </c>
      <c r="D318" s="243">
        <f>ROUND(C318/1000,0)</f>
        <v>0</v>
      </c>
    </row>
    <row r="320" spans="1:4" ht="12">
      <c r="A320" s="37" t="s">
        <v>1197</v>
      </c>
      <c r="C320" s="55">
        <f>SUM(C318:C319)</f>
        <v>0</v>
      </c>
      <c r="D320" s="55">
        <f>SUM(D318:D319)</f>
        <v>0</v>
      </c>
    </row>
    <row r="322" spans="1:4" ht="12">
      <c r="A322" s="37" t="s">
        <v>122</v>
      </c>
      <c r="C322" s="298">
        <v>809356</v>
      </c>
      <c r="D322" s="299">
        <f>ROUND(C322/1000,0)</f>
        <v>809</v>
      </c>
    </row>
    <row r="323" spans="1:4" ht="12">
      <c r="A323" s="37" t="s">
        <v>1132</v>
      </c>
      <c r="C323" s="298">
        <v>1560251</v>
      </c>
      <c r="D323" s="299">
        <f>ROUND(C323/1000,0)</f>
        <v>1560</v>
      </c>
    </row>
    <row r="324" ht="12">
      <c r="A324" s="37" t="s">
        <v>163</v>
      </c>
    </row>
    <row r="325" ht="12">
      <c r="A325" s="9" t="s">
        <v>1191</v>
      </c>
    </row>
    <row r="326" spans="1:4" ht="12">
      <c r="A326" s="37" t="s">
        <v>165</v>
      </c>
      <c r="C326" s="298">
        <v>17679360</v>
      </c>
      <c r="D326" s="299">
        <f aca="true" t="shared" si="1" ref="D326:D331">ROUND(C326/1000,0)</f>
        <v>17679</v>
      </c>
    </row>
    <row r="327" spans="1:4" ht="12">
      <c r="A327" s="37" t="s">
        <v>640</v>
      </c>
      <c r="D327" s="243">
        <f t="shared" si="1"/>
        <v>0</v>
      </c>
    </row>
    <row r="328" spans="1:4" ht="12">
      <c r="A328" s="37" t="s">
        <v>639</v>
      </c>
      <c r="C328" s="55">
        <f>C341+C345+C349+C353</f>
        <v>20040253</v>
      </c>
      <c r="D328" s="243">
        <f t="shared" si="1"/>
        <v>20040</v>
      </c>
    </row>
    <row r="329" spans="1:4" ht="12">
      <c r="A329" s="37" t="s">
        <v>927</v>
      </c>
      <c r="C329" s="298">
        <v>12000000</v>
      </c>
      <c r="D329" s="299">
        <f t="shared" si="1"/>
        <v>12000</v>
      </c>
    </row>
    <row r="330" spans="1:4" ht="12">
      <c r="A330" s="37" t="s">
        <v>1069</v>
      </c>
      <c r="D330" s="243">
        <f t="shared" si="1"/>
        <v>0</v>
      </c>
    </row>
    <row r="331" spans="1:4" ht="12">
      <c r="A331" s="37" t="s">
        <v>421</v>
      </c>
      <c r="D331" s="55">
        <f t="shared" si="1"/>
        <v>0</v>
      </c>
    </row>
    <row r="332" spans="1:4" ht="12">
      <c r="A332" s="27" t="s">
        <v>172</v>
      </c>
      <c r="B332" s="13"/>
      <c r="C332" s="13"/>
      <c r="D332" s="13"/>
    </row>
    <row r="333" spans="1:4" ht="12">
      <c r="A333" s="27" t="s">
        <v>173</v>
      </c>
      <c r="B333" s="13"/>
      <c r="C333" s="13"/>
      <c r="D333" s="13"/>
    </row>
    <row r="334" spans="1:4" ht="12">
      <c r="A334" s="27"/>
      <c r="B334" s="13"/>
      <c r="C334" s="13"/>
      <c r="D334" s="13"/>
    </row>
    <row r="335" spans="1:4" ht="12">
      <c r="A335" s="27"/>
      <c r="B335" s="13"/>
      <c r="C335" s="13"/>
      <c r="D335" s="13"/>
    </row>
    <row r="336" spans="1:4" ht="12">
      <c r="A336" s="27" t="s">
        <v>175</v>
      </c>
      <c r="B336" s="13"/>
      <c r="C336" s="13"/>
      <c r="D336" s="13"/>
    </row>
    <row r="337" spans="1:4" ht="12">
      <c r="A337" s="27" t="s">
        <v>176</v>
      </c>
      <c r="B337" s="13"/>
      <c r="C337" s="13"/>
      <c r="D337" s="13"/>
    </row>
    <row r="338" spans="1:4" ht="12">
      <c r="A338" s="27" t="s">
        <v>174</v>
      </c>
      <c r="B338" s="13">
        <f>fsp!$C$227</f>
        <v>0</v>
      </c>
      <c r="C338" s="13">
        <f>B338*90%</f>
        <v>0</v>
      </c>
      <c r="D338" s="13"/>
    </row>
    <row r="339" spans="1:4" ht="12">
      <c r="A339" s="27" t="s">
        <v>177</v>
      </c>
      <c r="B339" s="13"/>
      <c r="C339" s="13"/>
      <c r="D339" s="13"/>
    </row>
    <row r="340" spans="1:4" ht="12">
      <c r="A340" s="27" t="s">
        <v>174</v>
      </c>
      <c r="B340" s="13">
        <f>fsp!C305</f>
        <v>12592773</v>
      </c>
      <c r="C340" s="13">
        <f>B340*90%</f>
        <v>11333495.700000001</v>
      </c>
      <c r="D340" s="13"/>
    </row>
    <row r="341" spans="1:4" ht="12">
      <c r="A341" s="27" t="s">
        <v>178</v>
      </c>
      <c r="B341" s="13"/>
      <c r="C341" s="300">
        <v>11314945</v>
      </c>
      <c r="D341" s="300">
        <f>ROUND(C341/1000,0)</f>
        <v>11315</v>
      </c>
    </row>
    <row r="342" spans="1:4" ht="12">
      <c r="A342" s="27"/>
      <c r="B342" s="13"/>
      <c r="C342" s="13"/>
      <c r="D342" s="13"/>
    </row>
    <row r="343" spans="1:4" ht="12">
      <c r="A343" s="27" t="s">
        <v>179</v>
      </c>
      <c r="B343" s="13"/>
      <c r="C343" s="13"/>
      <c r="D343" s="13"/>
    </row>
    <row r="344" spans="1:4" ht="12">
      <c r="A344" s="27" t="s">
        <v>174</v>
      </c>
      <c r="B344" s="13">
        <f>fsp!$C$258</f>
        <v>2615257</v>
      </c>
      <c r="C344" s="13">
        <f>B344*90%</f>
        <v>2353731.3000000003</v>
      </c>
      <c r="D344" s="13"/>
    </row>
    <row r="345" spans="1:4" ht="12">
      <c r="A345" s="27" t="s">
        <v>180</v>
      </c>
      <c r="B345" s="13"/>
      <c r="C345" s="300">
        <v>2352348</v>
      </c>
      <c r="D345" s="300">
        <f>ROUND(C345/1000,0)</f>
        <v>2352</v>
      </c>
    </row>
    <row r="346" spans="1:4" ht="12">
      <c r="A346" s="27"/>
      <c r="B346" s="13"/>
      <c r="C346" s="13"/>
      <c r="D346" s="13"/>
    </row>
    <row r="347" spans="1:4" ht="12">
      <c r="A347" s="27" t="s">
        <v>1358</v>
      </c>
      <c r="B347" s="13"/>
      <c r="C347" s="13"/>
      <c r="D347" s="13"/>
    </row>
    <row r="348" spans="1:4" ht="12">
      <c r="A348" s="27" t="s">
        <v>174</v>
      </c>
      <c r="B348" s="13">
        <f>fsp!$C$284</f>
        <v>2202000</v>
      </c>
      <c r="C348" s="13">
        <f>B348*90%</f>
        <v>1981800</v>
      </c>
      <c r="D348" s="13"/>
    </row>
    <row r="349" spans="1:4" ht="12">
      <c r="A349" s="27" t="s">
        <v>1684</v>
      </c>
      <c r="B349" s="13"/>
      <c r="C349" s="300">
        <v>2164860</v>
      </c>
      <c r="D349" s="300">
        <f>ROUND(C349/1000,0)</f>
        <v>2165</v>
      </c>
    </row>
    <row r="350" spans="1:4" ht="12">
      <c r="A350" s="27"/>
      <c r="B350" s="13"/>
      <c r="C350" s="13"/>
      <c r="D350" s="13"/>
    </row>
    <row r="351" spans="1:4" ht="12">
      <c r="A351" s="27" t="s">
        <v>186</v>
      </c>
      <c r="B351" s="13"/>
      <c r="C351" s="300">
        <f>C341+C345+C349</f>
        <v>15832153</v>
      </c>
      <c r="D351" s="300">
        <f>D341+D345+D349</f>
        <v>15832</v>
      </c>
    </row>
    <row r="352" spans="1:4" ht="12">
      <c r="A352" s="27"/>
      <c r="B352" s="13"/>
      <c r="C352" s="13"/>
      <c r="D352" s="13"/>
    </row>
    <row r="353" spans="1:4" ht="12">
      <c r="A353" s="27" t="s">
        <v>187</v>
      </c>
      <c r="B353" s="13"/>
      <c r="C353" s="300">
        <v>4208100</v>
      </c>
      <c r="D353" s="300">
        <f>ROUND(C353/1000,0)</f>
        <v>4208</v>
      </c>
    </row>
    <row r="355" spans="2:4" s="27" customFormat="1" ht="11.25">
      <c r="B355" s="13"/>
      <c r="C355" s="13"/>
      <c r="D355" s="13"/>
    </row>
    <row r="356" spans="1:4" s="27" customFormat="1" ht="11.25">
      <c r="A356" s="27" t="s">
        <v>171</v>
      </c>
      <c r="B356" s="13"/>
      <c r="C356" s="300">
        <f>C353</f>
        <v>4208100</v>
      </c>
      <c r="D356" s="300">
        <f>D353</f>
        <v>4208</v>
      </c>
    </row>
    <row r="357" spans="2:4" s="27" customFormat="1" ht="11.25">
      <c r="B357" s="13"/>
      <c r="C357" s="13"/>
      <c r="D357" s="13"/>
    </row>
    <row r="358" spans="1:4" s="27" customFormat="1" ht="11.25">
      <c r="A358" s="27" t="s">
        <v>189</v>
      </c>
      <c r="B358" s="13"/>
      <c r="C358" s="13"/>
      <c r="D358" s="13"/>
    </row>
    <row r="359" spans="1:4" s="61" customFormat="1" ht="12">
      <c r="A359" s="37" t="s">
        <v>690</v>
      </c>
      <c r="B359" s="55"/>
      <c r="C359" s="274">
        <v>660000</v>
      </c>
      <c r="D359" s="274"/>
    </row>
    <row r="360" spans="1:4" s="61" customFormat="1" ht="12">
      <c r="A360" s="61" t="s">
        <v>190</v>
      </c>
      <c r="B360" s="226"/>
      <c r="C360" s="226">
        <f>C284+C310+C313+C320+C326+C327+C328+C322+C323+C329+C359</f>
        <v>87830980</v>
      </c>
      <c r="D360" s="226">
        <f>D284+D310+D313+D320+D326+D327+D328+D322+D323+D329+D359</f>
        <v>87170</v>
      </c>
    </row>
    <row r="361" spans="1:4" ht="12">
      <c r="A361" s="61"/>
      <c r="B361" s="226"/>
      <c r="C361" s="226"/>
      <c r="D361" s="226"/>
    </row>
    <row r="363" ht="12">
      <c r="A363" s="245" t="s">
        <v>191</v>
      </c>
    </row>
    <row r="364" ht="28.5" customHeight="1"/>
    <row r="365" spans="1:4" ht="12">
      <c r="A365" s="363" t="s">
        <v>192</v>
      </c>
      <c r="B365" s="361"/>
      <c r="C365" s="361"/>
      <c r="D365" s="361"/>
    </row>
    <row r="367" ht="12">
      <c r="A367" s="37" t="s">
        <v>193</v>
      </c>
    </row>
    <row r="368" ht="12">
      <c r="A368" s="37" t="s">
        <v>194</v>
      </c>
    </row>
    <row r="370" spans="1:2" ht="12">
      <c r="A370" s="37" t="s">
        <v>195</v>
      </c>
      <c r="B370" s="13" t="s">
        <v>844</v>
      </c>
    </row>
    <row r="371" spans="1:2" ht="12">
      <c r="A371" s="37" t="s">
        <v>213</v>
      </c>
      <c r="B371" s="55">
        <v>0</v>
      </c>
    </row>
    <row r="372" spans="1:2" ht="12">
      <c r="A372" s="37" t="s">
        <v>214</v>
      </c>
      <c r="B372" s="243">
        <v>0</v>
      </c>
    </row>
    <row r="373" spans="1:3" ht="12">
      <c r="A373" s="37" t="s">
        <v>195</v>
      </c>
      <c r="C373" s="55">
        <f>SUM(C372)</f>
        <v>0</v>
      </c>
    </row>
    <row r="375" spans="2:3" ht="12">
      <c r="B375" s="14" t="s">
        <v>215</v>
      </c>
      <c r="C375" s="14" t="s">
        <v>930</v>
      </c>
    </row>
    <row r="376" spans="1:3" ht="12">
      <c r="A376" s="37" t="s">
        <v>216</v>
      </c>
      <c r="B376" s="55">
        <f>C373</f>
        <v>0</v>
      </c>
      <c r="C376" s="55">
        <f>B376*25%</f>
        <v>0</v>
      </c>
    </row>
    <row r="377" spans="1:4" s="61" customFormat="1" ht="12">
      <c r="A377" s="37"/>
      <c r="B377" s="55"/>
      <c r="C377" s="55"/>
      <c r="D377" s="55"/>
    </row>
    <row r="378" spans="1:4" ht="12">
      <c r="A378" s="61" t="s">
        <v>217</v>
      </c>
      <c r="B378" s="226"/>
      <c r="C378" s="226">
        <f>C373+C376</f>
        <v>0</v>
      </c>
      <c r="D378" s="226">
        <f>D373+D376</f>
        <v>0</v>
      </c>
    </row>
    <row r="379" spans="1:4" s="145" customFormat="1" ht="12">
      <c r="A379" s="37"/>
      <c r="B379" s="55"/>
      <c r="C379" s="55"/>
      <c r="D379" s="55"/>
    </row>
    <row r="380" spans="1:4" ht="12">
      <c r="A380" s="145" t="s">
        <v>218</v>
      </c>
      <c r="B380" s="241"/>
      <c r="C380" s="241">
        <f>C360+C378</f>
        <v>87830980</v>
      </c>
      <c r="D380" s="241">
        <f>D360+D378</f>
        <v>87170</v>
      </c>
    </row>
    <row r="385" spans="1:4" ht="12">
      <c r="A385" s="37" t="s">
        <v>1551</v>
      </c>
      <c r="C385" s="274">
        <f>C43</f>
        <v>8483209.220702315</v>
      </c>
      <c r="D385" s="55">
        <f>D43</f>
        <v>28246</v>
      </c>
    </row>
    <row r="386" spans="1:4" ht="12">
      <c r="A386" s="37" t="s">
        <v>1553</v>
      </c>
      <c r="C386" s="274">
        <f>C45</f>
        <v>0</v>
      </c>
      <c r="D386" s="55">
        <f>D45</f>
        <v>0</v>
      </c>
    </row>
    <row r="387" spans="1:4" ht="12">
      <c r="A387" s="37" t="s">
        <v>0</v>
      </c>
      <c r="C387" s="274">
        <f>C79</f>
        <v>275000</v>
      </c>
      <c r="D387" s="55">
        <f>D79</f>
        <v>275</v>
      </c>
    </row>
    <row r="388" spans="1:4" ht="12">
      <c r="A388" s="37" t="s">
        <v>949</v>
      </c>
      <c r="C388" s="274">
        <f>C144</f>
        <v>3915848</v>
      </c>
      <c r="D388" s="55">
        <f>D144</f>
        <v>3917</v>
      </c>
    </row>
    <row r="389" spans="1:4" ht="12">
      <c r="A389" s="37" t="s">
        <v>103</v>
      </c>
      <c r="C389" s="274">
        <f>C264</f>
        <v>7835919.747438087</v>
      </c>
      <c r="D389" s="55">
        <f>D264</f>
        <v>7836</v>
      </c>
    </row>
    <row r="390" spans="1:4" ht="12">
      <c r="A390" s="37" t="s">
        <v>373</v>
      </c>
      <c r="C390" s="274">
        <f>C380</f>
        <v>87830980</v>
      </c>
      <c r="D390" s="55">
        <f>D380</f>
        <v>87170</v>
      </c>
    </row>
    <row r="391" spans="3:4" ht="12">
      <c r="C391" s="274">
        <f>C385+C387+C388+C389+C390</f>
        <v>108340956.9681404</v>
      </c>
      <c r="D391" s="55">
        <f>SUM(D385:D390)</f>
        <v>127444</v>
      </c>
    </row>
    <row r="395" spans="1:3" ht="12">
      <c r="A395" s="37" t="s">
        <v>1148</v>
      </c>
      <c r="C395" s="55">
        <f>C391-C19-C24-C38-C39</f>
        <v>100932851.74743807</v>
      </c>
    </row>
  </sheetData>
  <sheetProtection/>
  <mergeCells count="13">
    <mergeCell ref="A365:D365"/>
    <mergeCell ref="A270:D270"/>
    <mergeCell ref="A36:D36"/>
    <mergeCell ref="A86:D86"/>
    <mergeCell ref="A68:D68"/>
    <mergeCell ref="A211:D211"/>
    <mergeCell ref="A216:D216"/>
    <mergeCell ref="A176:D176"/>
    <mergeCell ref="A131:D131"/>
    <mergeCell ref="A150:D150"/>
    <mergeCell ref="A116:D116"/>
    <mergeCell ref="A5:D5"/>
    <mergeCell ref="A51:D51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2005.ÉVI KÖLTSÉGVETÉSE&amp;R&amp;"Arial,Dőlt"&amp;8Bevételek</oddHeader>
    <oddFooter>&amp;C&amp;"Arial,Dőlt"&amp;8&amp;P. oldal</oddFooter>
  </headerFooter>
  <rowBreaks count="4" manualBreakCount="4">
    <brk id="80" max="255" man="1"/>
    <brk id="145" max="255" man="1"/>
    <brk id="321" max="255" man="1"/>
    <brk id="3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3" sqref="C33"/>
    </sheetView>
  </sheetViews>
  <sheetFormatPr defaultColWidth="9.00390625" defaultRowHeight="12.75"/>
  <cols>
    <col min="1" max="1" width="46.375" style="272" customWidth="1"/>
    <col min="2" max="2" width="12.875" style="55" bestFit="1" customWidth="1"/>
    <col min="3" max="3" width="13.625" style="55" bestFit="1" customWidth="1"/>
    <col min="4" max="4" width="16.875" style="55" bestFit="1" customWidth="1"/>
    <col min="5" max="5" width="16.75390625" style="55" bestFit="1" customWidth="1"/>
    <col min="6" max="6" width="17.75390625" style="55" customWidth="1"/>
    <col min="7" max="7" width="16.125" style="55" bestFit="1" customWidth="1"/>
    <col min="8" max="16384" width="9.125" style="37" customWidth="1"/>
  </cols>
  <sheetData>
    <row r="1" spans="1:7" ht="12">
      <c r="A1" s="407" t="s">
        <v>908</v>
      </c>
      <c r="B1" s="401" t="s">
        <v>909</v>
      </c>
      <c r="C1" s="404" t="s">
        <v>910</v>
      </c>
      <c r="D1" s="410" t="s">
        <v>911</v>
      </c>
      <c r="E1" s="410" t="s">
        <v>912</v>
      </c>
      <c r="F1" s="410" t="s">
        <v>913</v>
      </c>
      <c r="G1" s="401" t="s">
        <v>242</v>
      </c>
    </row>
    <row r="2" spans="1:7" ht="12">
      <c r="A2" s="408"/>
      <c r="B2" s="402"/>
      <c r="C2" s="405"/>
      <c r="D2" s="411"/>
      <c r="E2" s="411"/>
      <c r="F2" s="411"/>
      <c r="G2" s="402"/>
    </row>
    <row r="3" spans="1:7" ht="12.75" thickBot="1">
      <c r="A3" s="409"/>
      <c r="B3" s="403"/>
      <c r="C3" s="406"/>
      <c r="D3" s="412"/>
      <c r="E3" s="412"/>
      <c r="F3" s="412"/>
      <c r="G3" s="403"/>
    </row>
    <row r="4" spans="1:7" ht="12.75" thickTop="1">
      <c r="A4" s="275"/>
      <c r="B4" s="276"/>
      <c r="C4" s="153"/>
      <c r="D4" s="153"/>
      <c r="E4" s="5"/>
      <c r="F4" s="5"/>
      <c r="G4" s="44"/>
    </row>
    <row r="5" spans="1:7" ht="12">
      <c r="A5" s="88" t="s">
        <v>4</v>
      </c>
      <c r="B5" s="44"/>
      <c r="C5" s="5"/>
      <c r="D5" s="5"/>
      <c r="E5" s="5">
        <f>D5*0%</f>
        <v>0</v>
      </c>
      <c r="F5" s="5">
        <f>D5*100%</f>
        <v>0</v>
      </c>
      <c r="G5" s="44">
        <f aca="true" t="shared" si="0" ref="G5:G13">E5+F5</f>
        <v>0</v>
      </c>
    </row>
    <row r="6" spans="1:7" ht="12">
      <c r="A6" s="88" t="s">
        <v>97</v>
      </c>
      <c r="B6" s="44">
        <v>808</v>
      </c>
      <c r="C6" s="5">
        <v>1430</v>
      </c>
      <c r="D6" s="281">
        <v>1500000</v>
      </c>
      <c r="E6" s="5">
        <f>D6*0%</f>
        <v>0</v>
      </c>
      <c r="F6" s="5">
        <f>D6*100%</f>
        <v>1500000</v>
      </c>
      <c r="G6" s="44">
        <f t="shared" si="0"/>
        <v>1500000</v>
      </c>
    </row>
    <row r="7" spans="1:7" ht="12">
      <c r="A7" s="88" t="s">
        <v>914</v>
      </c>
      <c r="B7" s="44">
        <v>1</v>
      </c>
      <c r="C7" s="5">
        <v>3800</v>
      </c>
      <c r="D7" s="5">
        <f>B7*C7</f>
        <v>3800</v>
      </c>
      <c r="E7" s="5">
        <f>D7*0%</f>
        <v>0</v>
      </c>
      <c r="F7" s="5">
        <f>D7*100%</f>
        <v>3800</v>
      </c>
      <c r="G7" s="44">
        <f t="shared" si="0"/>
        <v>3800</v>
      </c>
    </row>
    <row r="8" spans="1:7" ht="12">
      <c r="A8" s="88" t="s">
        <v>98</v>
      </c>
      <c r="B8" s="44"/>
      <c r="C8" s="5"/>
      <c r="D8" s="5">
        <f>B8*C8</f>
        <v>0</v>
      </c>
      <c r="E8" s="5"/>
      <c r="F8" s="5"/>
      <c r="G8" s="44">
        <f t="shared" si="0"/>
        <v>0</v>
      </c>
    </row>
    <row r="9" spans="1:7" ht="12">
      <c r="A9" s="88" t="s">
        <v>915</v>
      </c>
      <c r="B9" s="44">
        <v>8</v>
      </c>
      <c r="C9" s="5">
        <v>370000</v>
      </c>
      <c r="D9" s="5">
        <f>B9*C9</f>
        <v>2960000</v>
      </c>
      <c r="E9" s="5">
        <f>D9*0%</f>
        <v>0</v>
      </c>
      <c r="F9" s="5">
        <f>D9*100%</f>
        <v>2960000</v>
      </c>
      <c r="G9" s="44">
        <f t="shared" si="0"/>
        <v>2960000</v>
      </c>
    </row>
    <row r="10" spans="1:7" ht="12">
      <c r="A10" s="88" t="s">
        <v>1676</v>
      </c>
      <c r="B10" s="44">
        <v>8</v>
      </c>
      <c r="C10" s="5">
        <v>294000</v>
      </c>
      <c r="D10" s="5">
        <f>B10*C10</f>
        <v>2352000</v>
      </c>
      <c r="E10" s="5">
        <f>D10*0%</f>
        <v>0</v>
      </c>
      <c r="F10" s="5">
        <f>D10*100%</f>
        <v>2352000</v>
      </c>
      <c r="G10" s="44">
        <f t="shared" si="0"/>
        <v>2352000</v>
      </c>
    </row>
    <row r="11" spans="1:7" ht="12">
      <c r="A11" s="88" t="s">
        <v>99</v>
      </c>
      <c r="B11" s="44"/>
      <c r="C11" s="5"/>
      <c r="D11" s="281">
        <f>SUM(D9:D10)</f>
        <v>5312000</v>
      </c>
      <c r="E11" s="5">
        <f>SUM(E9:E10)</f>
        <v>0</v>
      </c>
      <c r="F11" s="5">
        <f>SUM(F9:F10)</f>
        <v>5312000</v>
      </c>
      <c r="G11" s="44">
        <f t="shared" si="0"/>
        <v>5312000</v>
      </c>
    </row>
    <row r="12" spans="1:7" ht="24">
      <c r="A12" s="88" t="s">
        <v>100</v>
      </c>
      <c r="B12" s="44">
        <v>808</v>
      </c>
      <c r="C12" s="5">
        <v>2510</v>
      </c>
      <c r="D12" s="281">
        <f>B12*C12</f>
        <v>2028080</v>
      </c>
      <c r="E12" s="5">
        <f>D12*0%</f>
        <v>0</v>
      </c>
      <c r="F12" s="5">
        <f>D12*100%</f>
        <v>2028080</v>
      </c>
      <c r="G12" s="44">
        <f t="shared" si="0"/>
        <v>2028080</v>
      </c>
    </row>
    <row r="13" spans="1:7" ht="24">
      <c r="A13" s="88" t="s">
        <v>1049</v>
      </c>
      <c r="B13" s="44">
        <v>808</v>
      </c>
      <c r="C13" s="5">
        <f>D13/B13</f>
        <v>9285</v>
      </c>
      <c r="D13" s="281">
        <v>7502280</v>
      </c>
      <c r="E13" s="5">
        <f>D13*0%</f>
        <v>0</v>
      </c>
      <c r="F13" s="5">
        <f>D13*100%</f>
        <v>7502280</v>
      </c>
      <c r="G13" s="44">
        <f t="shared" si="0"/>
        <v>7502280</v>
      </c>
    </row>
    <row r="14" spans="1:7" ht="12">
      <c r="A14" s="88" t="s">
        <v>1163</v>
      </c>
      <c r="B14" s="5">
        <v>808</v>
      </c>
      <c r="C14" s="5">
        <v>1135</v>
      </c>
      <c r="D14" s="281">
        <f>B14*C14</f>
        <v>917080</v>
      </c>
      <c r="E14" s="5">
        <f>D14*0%</f>
        <v>0</v>
      </c>
      <c r="F14" s="5">
        <f>D14*100%</f>
        <v>917080</v>
      </c>
      <c r="G14" s="44">
        <f>E14+F14</f>
        <v>917080</v>
      </c>
    </row>
    <row r="15" spans="1:7" ht="12">
      <c r="A15" s="88" t="s">
        <v>30</v>
      </c>
      <c r="B15" s="5"/>
      <c r="C15" s="5"/>
      <c r="D15" s="5"/>
      <c r="E15" s="5"/>
      <c r="F15" s="5"/>
      <c r="G15" s="44"/>
    </row>
    <row r="16" spans="1:7" ht="12">
      <c r="A16" s="88" t="s">
        <v>31</v>
      </c>
      <c r="B16" s="5"/>
      <c r="C16" s="5"/>
      <c r="D16" s="5"/>
      <c r="E16" s="5"/>
      <c r="F16" s="5"/>
      <c r="G16" s="44"/>
    </row>
    <row r="17" spans="1:7" ht="12">
      <c r="A17" s="88" t="s">
        <v>32</v>
      </c>
      <c r="B17" s="5"/>
      <c r="C17" s="5"/>
      <c r="D17" s="5"/>
      <c r="E17" s="5"/>
      <c r="F17" s="5"/>
      <c r="G17" s="44"/>
    </row>
    <row r="18" spans="1:7" ht="12">
      <c r="A18" s="88" t="s">
        <v>33</v>
      </c>
      <c r="B18" s="5"/>
      <c r="C18" s="5"/>
      <c r="D18" s="5"/>
      <c r="E18" s="5"/>
      <c r="F18" s="5"/>
      <c r="G18" s="44"/>
    </row>
    <row r="19" spans="1:7" ht="12">
      <c r="A19" s="88" t="s">
        <v>34</v>
      </c>
      <c r="B19" s="5"/>
      <c r="C19" s="5"/>
      <c r="D19" s="5"/>
      <c r="E19" s="5"/>
      <c r="F19" s="5"/>
      <c r="G19" s="44"/>
    </row>
    <row r="20" spans="1:7" ht="12">
      <c r="A20" s="88"/>
      <c r="B20" s="5"/>
      <c r="C20" s="5"/>
      <c r="D20" s="5">
        <f>SUM(D16:D19)</f>
        <v>0</v>
      </c>
      <c r="E20" s="5"/>
      <c r="F20" s="5"/>
      <c r="G20" s="44"/>
    </row>
    <row r="21" spans="1:7" ht="12">
      <c r="A21" s="88"/>
      <c r="B21" s="5"/>
      <c r="C21" s="5"/>
      <c r="D21" s="5"/>
      <c r="E21" s="5"/>
      <c r="F21" s="5"/>
      <c r="G21" s="44"/>
    </row>
    <row r="22" spans="1:7" ht="12">
      <c r="A22" s="88" t="s">
        <v>1048</v>
      </c>
      <c r="B22" s="5">
        <v>808</v>
      </c>
      <c r="C22" s="5">
        <v>515</v>
      </c>
      <c r="D22" s="281">
        <f>B22*C22</f>
        <v>416120</v>
      </c>
      <c r="E22" s="5">
        <f>D22*100%</f>
        <v>416120</v>
      </c>
      <c r="F22" s="5">
        <f>D22*0%</f>
        <v>0</v>
      </c>
      <c r="G22" s="44">
        <f>E22+F22</f>
        <v>416120</v>
      </c>
    </row>
    <row r="23" spans="1:7" ht="12">
      <c r="A23" s="277" t="s">
        <v>1050</v>
      </c>
      <c r="B23" s="4"/>
      <c r="C23" s="4"/>
      <c r="D23" s="3">
        <f>D6+D11+D12+D13+D14+D20+D22+D7</f>
        <v>17679360</v>
      </c>
      <c r="E23" s="3">
        <f>E6+E11+E12+E13+E14+E20</f>
        <v>0</v>
      </c>
      <c r="F23" s="3">
        <f>F6+F11+F12+F13+F14+F20</f>
        <v>17259440</v>
      </c>
      <c r="G23" s="3">
        <f>G6+G11+G12+G13+G14+G20</f>
        <v>17259440</v>
      </c>
    </row>
    <row r="24" spans="1:7" ht="12">
      <c r="A24" s="88"/>
      <c r="B24" s="5"/>
      <c r="C24" s="5"/>
      <c r="D24" s="5"/>
      <c r="E24" s="5"/>
      <c r="F24" s="5"/>
      <c r="G24" s="44"/>
    </row>
    <row r="25" spans="1:7" ht="12">
      <c r="A25" s="277" t="s">
        <v>37</v>
      </c>
      <c r="B25" s="5"/>
      <c r="C25" s="5"/>
      <c r="D25" s="5"/>
      <c r="E25" s="5"/>
      <c r="F25" s="5"/>
      <c r="G25" s="44"/>
    </row>
    <row r="26" spans="1:7" ht="12">
      <c r="A26" s="88" t="s">
        <v>38</v>
      </c>
      <c r="B26" s="20" t="s">
        <v>40</v>
      </c>
      <c r="C26" s="5"/>
      <c r="D26" s="5"/>
      <c r="E26" s="5"/>
      <c r="F26" s="5"/>
      <c r="G26" s="44"/>
    </row>
    <row r="27" spans="1:7" ht="12">
      <c r="A27" s="88" t="s">
        <v>39</v>
      </c>
      <c r="B27" s="5">
        <f>fsp!C227+fsp!C305</f>
        <v>12592773</v>
      </c>
      <c r="C27" s="5"/>
      <c r="D27" s="5">
        <f>B27*90%</f>
        <v>11333495.700000001</v>
      </c>
      <c r="E27" s="5"/>
      <c r="F27" s="5"/>
      <c r="G27" s="44"/>
    </row>
    <row r="28" spans="1:7" ht="12">
      <c r="A28" s="88" t="s">
        <v>977</v>
      </c>
      <c r="B28" s="5">
        <f>fsp!C258</f>
        <v>2615257</v>
      </c>
      <c r="C28" s="5"/>
      <c r="D28" s="5">
        <f>B28*90%</f>
        <v>2353731.3000000003</v>
      </c>
      <c r="E28" s="5"/>
      <c r="F28" s="5"/>
      <c r="G28" s="44"/>
    </row>
    <row r="29" spans="1:7" ht="12">
      <c r="A29" s="88" t="s">
        <v>978</v>
      </c>
      <c r="B29" s="5">
        <f>fsp!C284</f>
        <v>2202000</v>
      </c>
      <c r="C29" s="5"/>
      <c r="D29" s="5">
        <f>B29*90%</f>
        <v>1981800</v>
      </c>
      <c r="E29" s="5"/>
      <c r="F29" s="5"/>
      <c r="G29" s="44"/>
    </row>
    <row r="30" spans="1:7" ht="12">
      <c r="A30" s="88" t="s">
        <v>38</v>
      </c>
      <c r="B30" s="5"/>
      <c r="C30" s="5"/>
      <c r="D30" s="5">
        <f>SUM(D27:D29)</f>
        <v>15669027.000000002</v>
      </c>
      <c r="E30" s="5"/>
      <c r="F30" s="5"/>
      <c r="G30" s="44"/>
    </row>
    <row r="31" spans="1:7" ht="12">
      <c r="A31" s="88"/>
      <c r="B31" s="5"/>
      <c r="C31" s="5"/>
      <c r="D31" s="5"/>
      <c r="E31" s="5"/>
      <c r="F31" s="5"/>
      <c r="G31" s="44"/>
    </row>
    <row r="32" spans="1:7" ht="12">
      <c r="A32" s="88" t="s">
        <v>188</v>
      </c>
      <c r="B32" s="5"/>
      <c r="C32" s="5"/>
      <c r="D32" s="5">
        <v>4215598</v>
      </c>
      <c r="E32" s="5"/>
      <c r="F32" s="5"/>
      <c r="G32" s="44"/>
    </row>
    <row r="33" spans="1:7" ht="12">
      <c r="A33" s="88"/>
      <c r="B33" s="5"/>
      <c r="C33" s="5"/>
      <c r="D33" s="5"/>
      <c r="E33" s="5"/>
      <c r="F33" s="5"/>
      <c r="G33" s="44"/>
    </row>
    <row r="34" spans="1:7" ht="12">
      <c r="A34" s="88" t="s">
        <v>1051</v>
      </c>
      <c r="B34" s="5"/>
      <c r="C34" s="5"/>
      <c r="D34" s="5">
        <v>5677253</v>
      </c>
      <c r="E34" s="5">
        <f>D34*0%</f>
        <v>0</v>
      </c>
      <c r="F34" s="5">
        <f>D34*100%</f>
        <v>5677253</v>
      </c>
      <c r="G34" s="44">
        <f>E34+F34</f>
        <v>5677253</v>
      </c>
    </row>
    <row r="35" spans="1:7" ht="12">
      <c r="A35" s="88" t="s">
        <v>1052</v>
      </c>
      <c r="B35" s="5"/>
      <c r="C35" s="5"/>
      <c r="D35" s="5">
        <v>23279907</v>
      </c>
      <c r="E35" s="5">
        <f>D35*0%</f>
        <v>0</v>
      </c>
      <c r="F35" s="5">
        <f>D35*100%</f>
        <v>23279907</v>
      </c>
      <c r="G35" s="44">
        <f>E35+F35</f>
        <v>23279907</v>
      </c>
    </row>
    <row r="36" spans="1:7" s="9" customFormat="1" ht="12">
      <c r="A36" s="277" t="s">
        <v>1053</v>
      </c>
      <c r="B36" s="4"/>
      <c r="C36" s="4"/>
      <c r="D36" s="4">
        <f>SUM(D34:D35)</f>
        <v>28957160</v>
      </c>
      <c r="E36" s="4">
        <f>SUM(E34:E35)</f>
        <v>0</v>
      </c>
      <c r="F36" s="4">
        <f>SUM(F34:F35)</f>
        <v>28957160</v>
      </c>
      <c r="G36" s="8">
        <f>SUM(G34:G35)</f>
        <v>28957160</v>
      </c>
    </row>
    <row r="37" spans="1:7" ht="12">
      <c r="A37" s="88"/>
      <c r="B37" s="5"/>
      <c r="C37" s="5"/>
      <c r="D37" s="5"/>
      <c r="E37" s="5"/>
      <c r="F37" s="5"/>
      <c r="G37" s="44"/>
    </row>
    <row r="38" spans="1:7" s="61" customFormat="1" ht="12">
      <c r="A38" s="278" t="s">
        <v>1054</v>
      </c>
      <c r="B38" s="58"/>
      <c r="C38" s="58"/>
      <c r="D38" s="58">
        <f>D23+D30+D32+D36</f>
        <v>66521145</v>
      </c>
      <c r="E38" s="58">
        <f>E23+E36</f>
        <v>0</v>
      </c>
      <c r="F38" s="58">
        <f>F23+F36</f>
        <v>46216600</v>
      </c>
      <c r="G38" s="58">
        <f>G23+G36</f>
        <v>46216600</v>
      </c>
    </row>
    <row r="39" spans="1:7" ht="12">
      <c r="A39" s="279"/>
      <c r="B39" s="51"/>
      <c r="C39" s="51"/>
      <c r="D39" s="51"/>
      <c r="E39" s="51"/>
      <c r="F39" s="51"/>
      <c r="G39" s="53"/>
    </row>
  </sheetData>
  <sheetProtection/>
  <mergeCells count="7">
    <mergeCell ref="G1:G3"/>
    <mergeCell ref="B1:B3"/>
    <mergeCell ref="C1:C3"/>
    <mergeCell ref="A1:A3"/>
    <mergeCell ref="D1:D3"/>
    <mergeCell ref="E1:E3"/>
    <mergeCell ref="F1:F3"/>
  </mergeCells>
  <printOptions horizontalCentered="1"/>
  <pageMargins left="0.3937007874015748" right="0.3937007874015748" top="0.62" bottom="0.38" header="0.18" footer="0.19"/>
  <pageSetup horizontalDpi="600" verticalDpi="600" orientation="landscape" paperSize="9" r:id="rId1"/>
  <headerFooter alignWithMargins="0">
    <oddHeader>&amp;L
&amp;C
&amp;"Arial,Félkövér dőlt"&amp;11TISZAGYULAHÁZA KÖZSÉG  2008.ÉVI KÖZPONTI TÁMOGATÁSÁNAK SZÁMÍTÁSA&amp;R&amp;"Arial,Dőlt"&amp;8 2.számú melléklet</oddHeader>
    <oddFooter>&amp;C&amp;"Arial,Dőlt"&amp;7&amp;P.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2" sqref="G12"/>
    </sheetView>
  </sheetViews>
  <sheetFormatPr defaultColWidth="9.00390625" defaultRowHeight="12.75"/>
  <cols>
    <col min="1" max="1" width="18.375" style="98" bestFit="1" customWidth="1"/>
    <col min="2" max="2" width="8.00390625" style="98" bestFit="1" customWidth="1"/>
    <col min="3" max="3" width="7.75390625" style="98" customWidth="1"/>
    <col min="4" max="4" width="10.00390625" style="98" bestFit="1" customWidth="1"/>
    <col min="5" max="5" width="13.625" style="98" bestFit="1" customWidth="1"/>
    <col min="6" max="6" width="11.25390625" style="65" customWidth="1"/>
    <col min="7" max="7" width="10.00390625" style="98" bestFit="1" customWidth="1"/>
    <col min="8" max="8" width="9.00390625" style="98" bestFit="1" customWidth="1"/>
    <col min="9" max="9" width="13.625" style="98" bestFit="1" customWidth="1"/>
    <col min="10" max="10" width="9.00390625" style="98" bestFit="1" customWidth="1"/>
    <col min="11" max="11" width="12.625" style="98" bestFit="1" customWidth="1"/>
    <col min="12" max="16384" width="9.125" style="98" customWidth="1"/>
  </cols>
  <sheetData>
    <row r="1" spans="1:11" ht="121.5" customHeight="1" thickBot="1">
      <c r="A1" s="95" t="s">
        <v>1244</v>
      </c>
      <c r="B1" s="96" t="s">
        <v>1245</v>
      </c>
      <c r="C1" s="96" t="s">
        <v>1246</v>
      </c>
      <c r="D1" s="96" t="s">
        <v>1247</v>
      </c>
      <c r="E1" s="96" t="s">
        <v>1248</v>
      </c>
      <c r="F1" s="107" t="s">
        <v>268</v>
      </c>
      <c r="G1" s="96" t="s">
        <v>269</v>
      </c>
      <c r="H1" s="96" t="s">
        <v>270</v>
      </c>
      <c r="I1" s="96" t="s">
        <v>271</v>
      </c>
      <c r="J1" s="97" t="s">
        <v>272</v>
      </c>
      <c r="K1" s="97" t="s">
        <v>290</v>
      </c>
    </row>
    <row r="2" spans="1:11" ht="13.5" thickTop="1">
      <c r="A2" s="85"/>
      <c r="B2" s="85"/>
      <c r="C2" s="85"/>
      <c r="D2" s="85"/>
      <c r="E2" s="99"/>
      <c r="F2" s="86"/>
      <c r="G2" s="85"/>
      <c r="H2" s="99"/>
      <c r="I2" s="100"/>
      <c r="J2" s="101"/>
      <c r="K2" s="108"/>
    </row>
    <row r="3" spans="1:11" ht="12.75">
      <c r="A3" s="82" t="s">
        <v>274</v>
      </c>
      <c r="B3" s="68">
        <v>6</v>
      </c>
      <c r="C3" s="68">
        <v>10</v>
      </c>
      <c r="D3" s="68">
        <v>21464</v>
      </c>
      <c r="E3" s="68">
        <f aca="true" t="shared" si="0" ref="E3:E14">D3*B3</f>
        <v>128784</v>
      </c>
      <c r="F3" s="68">
        <f aca="true" t="shared" si="1" ref="F3:F14">E3*8.5%</f>
        <v>10946.640000000001</v>
      </c>
      <c r="G3" s="68">
        <v>7155</v>
      </c>
      <c r="H3" s="68">
        <v>608</v>
      </c>
      <c r="I3" s="68">
        <f aca="true" t="shared" si="2" ref="I3:I14">E3*18%</f>
        <v>23181.12</v>
      </c>
      <c r="J3" s="66">
        <f aca="true" t="shared" si="3" ref="J3:J14">G3*18%</f>
        <v>1287.8999999999999</v>
      </c>
      <c r="K3" s="66">
        <f aca="true" t="shared" si="4" ref="K3:K14">E3+G3+I3+J3</f>
        <v>160408.02</v>
      </c>
    </row>
    <row r="4" spans="1:11" ht="12.75">
      <c r="A4" s="82" t="s">
        <v>275</v>
      </c>
      <c r="B4" s="68">
        <v>6</v>
      </c>
      <c r="C4" s="68"/>
      <c r="D4" s="68">
        <v>21464</v>
      </c>
      <c r="E4" s="68">
        <f t="shared" si="0"/>
        <v>128784</v>
      </c>
      <c r="F4" s="68">
        <f t="shared" si="1"/>
        <v>10946.640000000001</v>
      </c>
      <c r="G4" s="68">
        <f aca="true" t="shared" si="5" ref="G4:G14">D4/30*C4</f>
        <v>0</v>
      </c>
      <c r="H4" s="68">
        <f aca="true" t="shared" si="6" ref="H4:H14">G4*8.5%</f>
        <v>0</v>
      </c>
      <c r="I4" s="68">
        <f t="shared" si="2"/>
        <v>23181.12</v>
      </c>
      <c r="J4" s="66">
        <f t="shared" si="3"/>
        <v>0</v>
      </c>
      <c r="K4" s="66">
        <f t="shared" si="4"/>
        <v>151965.12</v>
      </c>
    </row>
    <row r="5" spans="1:11" ht="12.75">
      <c r="A5" s="82" t="s">
        <v>276</v>
      </c>
      <c r="B5" s="68">
        <v>7</v>
      </c>
      <c r="C5" s="68"/>
      <c r="D5" s="68">
        <v>21704</v>
      </c>
      <c r="E5" s="68">
        <f t="shared" si="0"/>
        <v>151928</v>
      </c>
      <c r="F5" s="68">
        <f t="shared" si="1"/>
        <v>12913.880000000001</v>
      </c>
      <c r="G5" s="68">
        <f t="shared" si="5"/>
        <v>0</v>
      </c>
      <c r="H5" s="68">
        <f t="shared" si="6"/>
        <v>0</v>
      </c>
      <c r="I5" s="68">
        <f t="shared" si="2"/>
        <v>27347.039999999997</v>
      </c>
      <c r="J5" s="66">
        <f t="shared" si="3"/>
        <v>0</v>
      </c>
      <c r="K5" s="66">
        <f t="shared" si="4"/>
        <v>179275.04</v>
      </c>
    </row>
    <row r="6" spans="1:11" ht="12.75">
      <c r="A6" s="82" t="s">
        <v>277</v>
      </c>
      <c r="B6" s="68">
        <v>7</v>
      </c>
      <c r="C6" s="68"/>
      <c r="D6" s="68">
        <v>21704</v>
      </c>
      <c r="E6" s="68">
        <f t="shared" si="0"/>
        <v>151928</v>
      </c>
      <c r="F6" s="68">
        <f t="shared" si="1"/>
        <v>12913.880000000001</v>
      </c>
      <c r="G6" s="68">
        <f t="shared" si="5"/>
        <v>0</v>
      </c>
      <c r="H6" s="68">
        <f t="shared" si="6"/>
        <v>0</v>
      </c>
      <c r="I6" s="68">
        <f t="shared" si="2"/>
        <v>27347.039999999997</v>
      </c>
      <c r="J6" s="66">
        <f t="shared" si="3"/>
        <v>0</v>
      </c>
      <c r="K6" s="66">
        <f t="shared" si="4"/>
        <v>179275.04</v>
      </c>
    </row>
    <row r="7" spans="1:11" ht="12.75">
      <c r="A7" s="82" t="s">
        <v>278</v>
      </c>
      <c r="B7" s="68">
        <v>8</v>
      </c>
      <c r="C7" s="68"/>
      <c r="D7" s="68">
        <v>21704</v>
      </c>
      <c r="E7" s="68">
        <f t="shared" si="0"/>
        <v>173632</v>
      </c>
      <c r="F7" s="68">
        <f t="shared" si="1"/>
        <v>14758.720000000001</v>
      </c>
      <c r="G7" s="68">
        <f t="shared" si="5"/>
        <v>0</v>
      </c>
      <c r="H7" s="68">
        <f t="shared" si="6"/>
        <v>0</v>
      </c>
      <c r="I7" s="68">
        <f t="shared" si="2"/>
        <v>31253.76</v>
      </c>
      <c r="J7" s="66">
        <f t="shared" si="3"/>
        <v>0</v>
      </c>
      <c r="K7" s="66">
        <f t="shared" si="4"/>
        <v>204885.76</v>
      </c>
    </row>
    <row r="8" spans="1:11" ht="12.75">
      <c r="A8" s="82" t="s">
        <v>279</v>
      </c>
      <c r="B8" s="68">
        <v>8</v>
      </c>
      <c r="C8" s="68"/>
      <c r="D8" s="68">
        <v>21704</v>
      </c>
      <c r="E8" s="68">
        <f t="shared" si="0"/>
        <v>173632</v>
      </c>
      <c r="F8" s="68">
        <f t="shared" si="1"/>
        <v>14758.720000000001</v>
      </c>
      <c r="G8" s="68">
        <f t="shared" si="5"/>
        <v>0</v>
      </c>
      <c r="H8" s="68">
        <f t="shared" si="6"/>
        <v>0</v>
      </c>
      <c r="I8" s="68">
        <f t="shared" si="2"/>
        <v>31253.76</v>
      </c>
      <c r="J8" s="66">
        <f t="shared" si="3"/>
        <v>0</v>
      </c>
      <c r="K8" s="66">
        <f t="shared" si="4"/>
        <v>204885.76</v>
      </c>
    </row>
    <row r="9" spans="1:11" ht="12.75">
      <c r="A9" s="82" t="s">
        <v>280</v>
      </c>
      <c r="B9" s="68">
        <v>8</v>
      </c>
      <c r="C9" s="68"/>
      <c r="D9" s="68">
        <v>21704</v>
      </c>
      <c r="E9" s="68">
        <f t="shared" si="0"/>
        <v>173632</v>
      </c>
      <c r="F9" s="68">
        <f t="shared" si="1"/>
        <v>14758.720000000001</v>
      </c>
      <c r="G9" s="68">
        <f t="shared" si="5"/>
        <v>0</v>
      </c>
      <c r="H9" s="68">
        <f t="shared" si="6"/>
        <v>0</v>
      </c>
      <c r="I9" s="68">
        <f t="shared" si="2"/>
        <v>31253.76</v>
      </c>
      <c r="J9" s="66">
        <f t="shared" si="3"/>
        <v>0</v>
      </c>
      <c r="K9" s="66">
        <f t="shared" si="4"/>
        <v>204885.76</v>
      </c>
    </row>
    <row r="10" spans="1:11" ht="12.75">
      <c r="A10" s="82" t="s">
        <v>281</v>
      </c>
      <c r="B10" s="68">
        <v>7</v>
      </c>
      <c r="C10" s="68"/>
      <c r="D10" s="68">
        <v>21704</v>
      </c>
      <c r="E10" s="68">
        <f t="shared" si="0"/>
        <v>151928</v>
      </c>
      <c r="F10" s="68">
        <f t="shared" si="1"/>
        <v>12913.880000000001</v>
      </c>
      <c r="G10" s="68">
        <f t="shared" si="5"/>
        <v>0</v>
      </c>
      <c r="H10" s="68">
        <f t="shared" si="6"/>
        <v>0</v>
      </c>
      <c r="I10" s="68">
        <f t="shared" si="2"/>
        <v>27347.039999999997</v>
      </c>
      <c r="J10" s="66">
        <f t="shared" si="3"/>
        <v>0</v>
      </c>
      <c r="K10" s="66">
        <f t="shared" si="4"/>
        <v>179275.04</v>
      </c>
    </row>
    <row r="11" spans="1:11" ht="12.75">
      <c r="A11" s="82" t="s">
        <v>282</v>
      </c>
      <c r="B11" s="68">
        <v>7</v>
      </c>
      <c r="C11" s="68"/>
      <c r="D11" s="68">
        <v>21704</v>
      </c>
      <c r="E11" s="68">
        <f t="shared" si="0"/>
        <v>151928</v>
      </c>
      <c r="F11" s="68">
        <f t="shared" si="1"/>
        <v>12913.880000000001</v>
      </c>
      <c r="G11" s="68">
        <f t="shared" si="5"/>
        <v>0</v>
      </c>
      <c r="H11" s="68">
        <f t="shared" si="6"/>
        <v>0</v>
      </c>
      <c r="I11" s="68">
        <f t="shared" si="2"/>
        <v>27347.039999999997</v>
      </c>
      <c r="J11" s="66">
        <f t="shared" si="3"/>
        <v>0</v>
      </c>
      <c r="K11" s="66">
        <f t="shared" si="4"/>
        <v>179275.04</v>
      </c>
    </row>
    <row r="12" spans="1:11" ht="12.75">
      <c r="A12" s="82" t="s">
        <v>283</v>
      </c>
      <c r="B12" s="68">
        <v>7</v>
      </c>
      <c r="C12" s="68"/>
      <c r="D12" s="68">
        <v>21704</v>
      </c>
      <c r="E12" s="68">
        <f t="shared" si="0"/>
        <v>151928</v>
      </c>
      <c r="F12" s="68">
        <f t="shared" si="1"/>
        <v>12913.880000000001</v>
      </c>
      <c r="G12" s="68">
        <f t="shared" si="5"/>
        <v>0</v>
      </c>
      <c r="H12" s="68">
        <f t="shared" si="6"/>
        <v>0</v>
      </c>
      <c r="I12" s="68">
        <f t="shared" si="2"/>
        <v>27347.039999999997</v>
      </c>
      <c r="J12" s="66">
        <f t="shared" si="3"/>
        <v>0</v>
      </c>
      <c r="K12" s="66">
        <f t="shared" si="4"/>
        <v>179275.04</v>
      </c>
    </row>
    <row r="13" spans="1:11" ht="12.75">
      <c r="A13" s="82" t="s">
        <v>284</v>
      </c>
      <c r="B13" s="68">
        <v>7</v>
      </c>
      <c r="C13" s="68"/>
      <c r="D13" s="68">
        <v>21704</v>
      </c>
      <c r="E13" s="68">
        <f t="shared" si="0"/>
        <v>151928</v>
      </c>
      <c r="F13" s="68">
        <f t="shared" si="1"/>
        <v>12913.880000000001</v>
      </c>
      <c r="G13" s="68">
        <f t="shared" si="5"/>
        <v>0</v>
      </c>
      <c r="H13" s="68">
        <f t="shared" si="6"/>
        <v>0</v>
      </c>
      <c r="I13" s="68">
        <f t="shared" si="2"/>
        <v>27347.039999999997</v>
      </c>
      <c r="J13" s="66">
        <f t="shared" si="3"/>
        <v>0</v>
      </c>
      <c r="K13" s="66">
        <f t="shared" si="4"/>
        <v>179275.04</v>
      </c>
    </row>
    <row r="14" spans="1:11" ht="12.75">
      <c r="A14" s="82" t="s">
        <v>285</v>
      </c>
      <c r="B14" s="68">
        <v>7</v>
      </c>
      <c r="C14" s="68"/>
      <c r="D14" s="68">
        <v>21704</v>
      </c>
      <c r="E14" s="68">
        <f t="shared" si="0"/>
        <v>151928</v>
      </c>
      <c r="F14" s="68">
        <f t="shared" si="1"/>
        <v>12913.880000000001</v>
      </c>
      <c r="G14" s="68">
        <f t="shared" si="5"/>
        <v>0</v>
      </c>
      <c r="H14" s="68">
        <f t="shared" si="6"/>
        <v>0</v>
      </c>
      <c r="I14" s="68">
        <f t="shared" si="2"/>
        <v>27347.039999999997</v>
      </c>
      <c r="J14" s="66">
        <f t="shared" si="3"/>
        <v>0</v>
      </c>
      <c r="K14" s="66">
        <f t="shared" si="4"/>
        <v>179275.04</v>
      </c>
    </row>
    <row r="15" spans="1:11" ht="12.75">
      <c r="A15" s="82" t="s">
        <v>168</v>
      </c>
      <c r="B15" s="68">
        <f>SUM(B3:B14)</f>
        <v>85</v>
      </c>
      <c r="C15" s="68">
        <f>SUM(C3:C14)</f>
        <v>10</v>
      </c>
      <c r="D15" s="68"/>
      <c r="E15" s="68">
        <f aca="true" t="shared" si="7" ref="E15:K15">SUM(E3:E14)</f>
        <v>1841960</v>
      </c>
      <c r="F15" s="68">
        <f t="shared" si="7"/>
        <v>156566.60000000003</v>
      </c>
      <c r="G15" s="68">
        <f t="shared" si="7"/>
        <v>7155</v>
      </c>
      <c r="H15" s="68">
        <f t="shared" si="7"/>
        <v>608</v>
      </c>
      <c r="I15" s="68">
        <f t="shared" si="7"/>
        <v>331552.8</v>
      </c>
      <c r="J15" s="66">
        <f t="shared" si="7"/>
        <v>1287.8999999999999</v>
      </c>
      <c r="K15" s="66">
        <f t="shared" si="7"/>
        <v>2181955.7</v>
      </c>
    </row>
    <row r="16" spans="1:11" ht="12.75">
      <c r="A16" s="82"/>
      <c r="B16" s="82"/>
      <c r="C16" s="82"/>
      <c r="D16" s="82"/>
      <c r="E16" s="82"/>
      <c r="F16" s="68"/>
      <c r="G16" s="82"/>
      <c r="H16" s="82"/>
      <c r="I16" s="102"/>
      <c r="J16" s="104"/>
      <c r="K16" s="104"/>
    </row>
    <row r="17" spans="1:11" ht="12.75">
      <c r="A17" s="82" t="s">
        <v>287</v>
      </c>
      <c r="B17" s="69">
        <f>B15/12</f>
        <v>7.083333333333333</v>
      </c>
      <c r="C17" s="69">
        <f>C15/365</f>
        <v>0.0273972602739726</v>
      </c>
      <c r="D17" s="82"/>
      <c r="E17" s="82"/>
      <c r="F17" s="68"/>
      <c r="G17" s="82"/>
      <c r="H17" s="82"/>
      <c r="I17" s="102"/>
      <c r="J17" s="104"/>
      <c r="K17" s="104"/>
    </row>
    <row r="18" spans="1:11" ht="25.5">
      <c r="A18" s="71" t="s">
        <v>288</v>
      </c>
      <c r="B18" s="69">
        <f>B17+C17</f>
        <v>7.110730593607306</v>
      </c>
      <c r="C18" s="82"/>
      <c r="D18" s="82"/>
      <c r="E18" s="82"/>
      <c r="F18" s="68"/>
      <c r="G18" s="82"/>
      <c r="H18" s="82"/>
      <c r="I18" s="102"/>
      <c r="J18" s="104"/>
      <c r="K18" s="104"/>
    </row>
    <row r="19" spans="1:11" ht="12.75">
      <c r="A19" s="82"/>
      <c r="B19" s="82"/>
      <c r="C19" s="82"/>
      <c r="D19" s="82"/>
      <c r="E19" s="82"/>
      <c r="F19" s="68"/>
      <c r="G19" s="82"/>
      <c r="H19" s="82"/>
      <c r="I19" s="102"/>
      <c r="J19" s="104"/>
      <c r="K19" s="104"/>
    </row>
    <row r="20" spans="1:11" ht="12.75">
      <c r="A20" s="82" t="s">
        <v>289</v>
      </c>
      <c r="B20" s="68">
        <v>4</v>
      </c>
      <c r="C20" s="68"/>
      <c r="D20" s="68"/>
      <c r="E20" s="68"/>
      <c r="F20" s="68"/>
      <c r="G20" s="68"/>
      <c r="H20" s="68"/>
      <c r="I20" s="68"/>
      <c r="J20" s="66"/>
      <c r="K20" s="66"/>
    </row>
    <row r="21" spans="1:11" ht="12.75">
      <c r="A21" s="82"/>
      <c r="B21" s="82"/>
      <c r="C21" s="82"/>
      <c r="D21" s="82"/>
      <c r="E21" s="102"/>
      <c r="F21" s="68"/>
      <c r="G21" s="82"/>
      <c r="H21" s="82"/>
      <c r="I21" s="102"/>
      <c r="J21" s="104"/>
      <c r="K21" s="105"/>
    </row>
    <row r="22" spans="1:11" s="112" customFormat="1" ht="12.75">
      <c r="A22" s="109" t="s">
        <v>295</v>
      </c>
      <c r="B22" s="109"/>
      <c r="C22" s="109"/>
      <c r="D22" s="109"/>
      <c r="E22" s="113">
        <v>139516</v>
      </c>
      <c r="F22" s="110"/>
      <c r="G22" s="109"/>
      <c r="H22" s="109"/>
      <c r="I22" s="68">
        <f>E22*18%</f>
        <v>25112.879999999997</v>
      </c>
      <c r="J22" s="66">
        <f>G22*18%</f>
        <v>0</v>
      </c>
      <c r="K22" s="111"/>
    </row>
    <row r="23" spans="1:11" ht="12.75">
      <c r="A23" s="82"/>
      <c r="B23" s="82"/>
      <c r="C23" s="82"/>
      <c r="D23" s="82"/>
      <c r="E23" s="82"/>
      <c r="F23" s="68"/>
      <c r="G23" s="82"/>
      <c r="H23" s="82"/>
      <c r="I23" s="82"/>
      <c r="J23" s="104"/>
      <c r="K23" s="104"/>
    </row>
    <row r="24" spans="1:11" ht="12.75">
      <c r="A24" s="84"/>
      <c r="B24" s="84"/>
      <c r="C24" s="84"/>
      <c r="D24" s="84"/>
      <c r="E24" s="84"/>
      <c r="F24" s="70"/>
      <c r="G24" s="84"/>
      <c r="H24" s="84"/>
      <c r="I24" s="84"/>
      <c r="J24" s="106"/>
      <c r="K24" s="106"/>
    </row>
  </sheetData>
  <sheetProtection/>
  <printOptions horizontalCentered="1"/>
  <pageMargins left="0.7874015748031497" right="0.7874015748031497" top="1.2598425196850394" bottom="0.6692913385826772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MÉLTÁNYOSSÁGI ÁPOLÁSÍ DÍJAK KIFIZETÉSÉRŐL&amp;R&amp;"Arial,Dőlt"&amp;8 6.számú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F23" sqref="F23"/>
    </sheetView>
  </sheetViews>
  <sheetFormatPr defaultColWidth="9.00390625" defaultRowHeight="12.75"/>
  <cols>
    <col min="1" max="1" width="17.625" style="87" bestFit="1" customWidth="1"/>
    <col min="2" max="2" width="9.375" style="87" customWidth="1"/>
    <col min="3" max="3" width="7.875" style="87" customWidth="1"/>
    <col min="4" max="4" width="10.375" style="87" bestFit="1" customWidth="1"/>
    <col min="5" max="6" width="6.875" style="87" customWidth="1"/>
    <col min="7" max="7" width="9.375" style="87" customWidth="1"/>
    <col min="8" max="8" width="8.125" style="87" customWidth="1"/>
    <col min="9" max="9" width="12.875" style="87" customWidth="1"/>
    <col min="10" max="10" width="8.75390625" style="87" customWidth="1"/>
    <col min="11" max="11" width="11.375" style="87" customWidth="1"/>
    <col min="12" max="12" width="10.25390625" style="87" customWidth="1"/>
    <col min="13" max="13" width="12.375" style="87" customWidth="1"/>
    <col min="14" max="14" width="11.625" style="87" customWidth="1"/>
    <col min="15" max="16384" width="9.125" style="87" customWidth="1"/>
  </cols>
  <sheetData>
    <row r="1" spans="1:13" ht="12.75" customHeight="1">
      <c r="A1" s="356" t="s">
        <v>1233</v>
      </c>
      <c r="B1" s="413" t="s">
        <v>176</v>
      </c>
      <c r="C1" s="414"/>
      <c r="D1" s="414"/>
      <c r="E1" s="414"/>
      <c r="F1" s="415"/>
      <c r="G1" s="419" t="s">
        <v>1234</v>
      </c>
      <c r="H1" s="420"/>
      <c r="I1" s="420"/>
      <c r="J1" s="420"/>
      <c r="K1" s="420"/>
      <c r="L1" s="421"/>
      <c r="M1" s="426" t="s">
        <v>1235</v>
      </c>
    </row>
    <row r="2" spans="1:13" ht="10.5" customHeight="1">
      <c r="A2" s="353"/>
      <c r="B2" s="416"/>
      <c r="C2" s="417"/>
      <c r="D2" s="417"/>
      <c r="E2" s="417"/>
      <c r="F2" s="418"/>
      <c r="G2" s="422"/>
      <c r="H2" s="423"/>
      <c r="I2" s="423"/>
      <c r="J2" s="423"/>
      <c r="K2" s="423"/>
      <c r="L2" s="424"/>
      <c r="M2" s="408"/>
    </row>
    <row r="3" spans="1:13" ht="62.25" customHeight="1">
      <c r="A3" s="353"/>
      <c r="B3" s="425" t="s">
        <v>1236</v>
      </c>
      <c r="C3" s="425" t="s">
        <v>1237</v>
      </c>
      <c r="D3" s="426" t="s">
        <v>1238</v>
      </c>
      <c r="E3" s="425" t="s">
        <v>1239</v>
      </c>
      <c r="F3" s="427" t="s">
        <v>1240</v>
      </c>
      <c r="G3" s="425" t="s">
        <v>1236</v>
      </c>
      <c r="H3" s="425" t="s">
        <v>1241</v>
      </c>
      <c r="I3" s="425" t="s">
        <v>1238</v>
      </c>
      <c r="J3" s="425" t="s">
        <v>1239</v>
      </c>
      <c r="K3" s="426" t="s">
        <v>559</v>
      </c>
      <c r="L3" s="427" t="s">
        <v>1240</v>
      </c>
      <c r="M3" s="408"/>
    </row>
    <row r="4" spans="1:13" ht="47.25" customHeight="1" thickBot="1">
      <c r="A4" s="352"/>
      <c r="B4" s="352"/>
      <c r="C4" s="352"/>
      <c r="D4" s="409"/>
      <c r="E4" s="352"/>
      <c r="F4" s="428"/>
      <c r="G4" s="352"/>
      <c r="H4" s="352"/>
      <c r="I4" s="352"/>
      <c r="J4" s="352"/>
      <c r="K4" s="429"/>
      <c r="L4" s="428"/>
      <c r="M4" s="409"/>
    </row>
    <row r="5" spans="1:13" ht="12.75" thickTop="1">
      <c r="A5" s="41"/>
      <c r="B5" s="41"/>
      <c r="C5" s="41"/>
      <c r="D5" s="41"/>
      <c r="E5" s="42"/>
      <c r="F5" s="42"/>
      <c r="G5" s="41"/>
      <c r="H5" s="41"/>
      <c r="I5" s="41"/>
      <c r="J5" s="42"/>
      <c r="K5" s="42"/>
      <c r="L5" s="42"/>
      <c r="M5" s="41"/>
    </row>
    <row r="6" spans="1:13" ht="12">
      <c r="A6" s="41" t="s">
        <v>1165</v>
      </c>
      <c r="B6" s="5">
        <v>6064</v>
      </c>
      <c r="C6" s="5">
        <v>1</v>
      </c>
      <c r="D6" s="5">
        <v>6064</v>
      </c>
      <c r="E6" s="44">
        <v>0</v>
      </c>
      <c r="F6" s="44">
        <f aca="true" t="shared" si="0" ref="F6:F17">B6/300*E6</f>
        <v>0</v>
      </c>
      <c r="G6" s="5">
        <v>18060</v>
      </c>
      <c r="H6" s="5">
        <v>30</v>
      </c>
      <c r="I6" s="5">
        <v>790956</v>
      </c>
      <c r="J6" s="44"/>
      <c r="K6" s="44"/>
      <c r="L6" s="44">
        <f aca="true" t="shared" si="1" ref="L6:L17">G6/30*J6</f>
        <v>0</v>
      </c>
      <c r="M6" s="5">
        <f aca="true" t="shared" si="2" ref="M6:M17">D6+F6+I6+L6</f>
        <v>797020</v>
      </c>
    </row>
    <row r="7" spans="1:13" ht="12">
      <c r="A7" s="41" t="s">
        <v>1166</v>
      </c>
      <c r="B7" s="5">
        <v>6064</v>
      </c>
      <c r="C7" s="5">
        <v>1</v>
      </c>
      <c r="D7" s="5">
        <v>6064</v>
      </c>
      <c r="E7" s="44"/>
      <c r="F7" s="44">
        <f t="shared" si="0"/>
        <v>0</v>
      </c>
      <c r="G7" s="5">
        <v>18060</v>
      </c>
      <c r="H7" s="5">
        <v>40</v>
      </c>
      <c r="I7" s="5">
        <v>980163</v>
      </c>
      <c r="J7" s="44"/>
      <c r="K7" s="44"/>
      <c r="L7" s="44">
        <f t="shared" si="1"/>
        <v>0</v>
      </c>
      <c r="M7" s="5">
        <f t="shared" si="2"/>
        <v>986227</v>
      </c>
    </row>
    <row r="8" spans="1:13" ht="12">
      <c r="A8" s="41" t="s">
        <v>1167</v>
      </c>
      <c r="B8" s="5">
        <v>6064</v>
      </c>
      <c r="C8" s="5">
        <v>1</v>
      </c>
      <c r="D8" s="5">
        <v>6064</v>
      </c>
      <c r="E8" s="44"/>
      <c r="F8" s="44">
        <f t="shared" si="0"/>
        <v>0</v>
      </c>
      <c r="G8" s="5">
        <v>18060</v>
      </c>
      <c r="H8" s="5">
        <v>40</v>
      </c>
      <c r="I8" s="5">
        <v>1113390</v>
      </c>
      <c r="J8" s="44"/>
      <c r="K8" s="44"/>
      <c r="L8" s="44">
        <f t="shared" si="1"/>
        <v>0</v>
      </c>
      <c r="M8" s="5">
        <f t="shared" si="2"/>
        <v>1119454</v>
      </c>
    </row>
    <row r="9" spans="1:13" ht="12">
      <c r="A9" s="41" t="s">
        <v>1168</v>
      </c>
      <c r="B9" s="5">
        <v>6064</v>
      </c>
      <c r="C9" s="5">
        <v>1</v>
      </c>
      <c r="D9" s="5">
        <v>6064</v>
      </c>
      <c r="E9" s="44"/>
      <c r="F9" s="44">
        <f t="shared" si="0"/>
        <v>0</v>
      </c>
      <c r="G9" s="5">
        <v>18060</v>
      </c>
      <c r="H9" s="5">
        <v>38</v>
      </c>
      <c r="I9" s="5">
        <v>1038594</v>
      </c>
      <c r="J9" s="44"/>
      <c r="K9" s="44"/>
      <c r="L9" s="44">
        <f t="shared" si="1"/>
        <v>0</v>
      </c>
      <c r="M9" s="5">
        <f t="shared" si="2"/>
        <v>1044658</v>
      </c>
    </row>
    <row r="10" spans="1:13" ht="12">
      <c r="A10" s="41" t="s">
        <v>1169</v>
      </c>
      <c r="B10" s="5">
        <v>6064</v>
      </c>
      <c r="C10" s="5">
        <v>1</v>
      </c>
      <c r="D10" s="5">
        <v>6064</v>
      </c>
      <c r="E10" s="44"/>
      <c r="F10" s="44">
        <f t="shared" si="0"/>
        <v>0</v>
      </c>
      <c r="G10" s="5">
        <v>18060</v>
      </c>
      <c r="H10" s="5">
        <v>39</v>
      </c>
      <c r="I10" s="5">
        <v>1012392</v>
      </c>
      <c r="J10" s="44"/>
      <c r="K10" s="44"/>
      <c r="L10" s="44">
        <f t="shared" si="1"/>
        <v>0</v>
      </c>
      <c r="M10" s="5">
        <f t="shared" si="2"/>
        <v>1018456</v>
      </c>
    </row>
    <row r="11" spans="1:13" ht="12">
      <c r="A11" s="41" t="s">
        <v>1170</v>
      </c>
      <c r="B11" s="5">
        <v>6064</v>
      </c>
      <c r="C11" s="5">
        <v>1</v>
      </c>
      <c r="D11" s="5">
        <v>6064</v>
      </c>
      <c r="E11" s="44"/>
      <c r="F11" s="44">
        <f t="shared" si="0"/>
        <v>0</v>
      </c>
      <c r="G11" s="5">
        <v>18060</v>
      </c>
      <c r="H11" s="5">
        <v>39</v>
      </c>
      <c r="I11" s="5">
        <v>1030647</v>
      </c>
      <c r="J11" s="44"/>
      <c r="K11" s="44"/>
      <c r="L11" s="44">
        <f t="shared" si="1"/>
        <v>0</v>
      </c>
      <c r="M11" s="5">
        <f t="shared" si="2"/>
        <v>1036711</v>
      </c>
    </row>
    <row r="12" spans="1:13" ht="12">
      <c r="A12" s="41" t="s">
        <v>1171</v>
      </c>
      <c r="B12" s="5">
        <v>6064</v>
      </c>
      <c r="C12" s="5">
        <v>1</v>
      </c>
      <c r="D12" s="5">
        <f aca="true" t="shared" si="3" ref="D12:D17">C12*B12</f>
        <v>6064</v>
      </c>
      <c r="E12" s="44"/>
      <c r="F12" s="44">
        <f t="shared" si="0"/>
        <v>0</v>
      </c>
      <c r="G12" s="5"/>
      <c r="H12" s="5">
        <v>26</v>
      </c>
      <c r="I12" s="5">
        <v>593279</v>
      </c>
      <c r="J12" s="44"/>
      <c r="K12" s="44">
        <f aca="true" t="shared" si="4" ref="K12:K17">I12/H12</f>
        <v>22818.423076923078</v>
      </c>
      <c r="L12" s="44">
        <f t="shared" si="1"/>
        <v>0</v>
      </c>
      <c r="M12" s="5">
        <f t="shared" si="2"/>
        <v>599343</v>
      </c>
    </row>
    <row r="13" spans="1:13" ht="12">
      <c r="A13" s="41" t="s">
        <v>1172</v>
      </c>
      <c r="B13" s="5"/>
      <c r="C13" s="5"/>
      <c r="D13" s="5">
        <f t="shared" si="3"/>
        <v>0</v>
      </c>
      <c r="E13" s="44"/>
      <c r="F13" s="44">
        <f t="shared" si="0"/>
        <v>0</v>
      </c>
      <c r="G13" s="5"/>
      <c r="H13" s="5">
        <v>40</v>
      </c>
      <c r="I13" s="5">
        <v>735619</v>
      </c>
      <c r="J13" s="44"/>
      <c r="K13" s="44">
        <f t="shared" si="4"/>
        <v>18390.475</v>
      </c>
      <c r="L13" s="44">
        <f t="shared" si="1"/>
        <v>0</v>
      </c>
      <c r="M13" s="5">
        <f t="shared" si="2"/>
        <v>735619</v>
      </c>
    </row>
    <row r="14" spans="1:13" ht="12">
      <c r="A14" s="41" t="s">
        <v>1173</v>
      </c>
      <c r="B14" s="5"/>
      <c r="C14" s="5"/>
      <c r="D14" s="5">
        <f t="shared" si="3"/>
        <v>0</v>
      </c>
      <c r="E14" s="44"/>
      <c r="F14" s="44">
        <f t="shared" si="0"/>
        <v>0</v>
      </c>
      <c r="G14" s="5"/>
      <c r="H14" s="5">
        <v>48</v>
      </c>
      <c r="I14" s="5">
        <v>891160</v>
      </c>
      <c r="J14" s="44"/>
      <c r="K14" s="44">
        <f t="shared" si="4"/>
        <v>18565.833333333332</v>
      </c>
      <c r="L14" s="44">
        <f t="shared" si="1"/>
        <v>0</v>
      </c>
      <c r="M14" s="5">
        <f t="shared" si="2"/>
        <v>891160</v>
      </c>
    </row>
    <row r="15" spans="1:13" ht="12">
      <c r="A15" s="41" t="s">
        <v>1174</v>
      </c>
      <c r="B15" s="5"/>
      <c r="C15" s="5"/>
      <c r="D15" s="5">
        <f t="shared" si="3"/>
        <v>0</v>
      </c>
      <c r="E15" s="44"/>
      <c r="F15" s="44">
        <f t="shared" si="0"/>
        <v>0</v>
      </c>
      <c r="G15" s="5"/>
      <c r="H15" s="5">
        <v>42</v>
      </c>
      <c r="I15" s="5">
        <v>1055686</v>
      </c>
      <c r="J15" s="44"/>
      <c r="K15" s="44">
        <f t="shared" si="4"/>
        <v>25135.380952380954</v>
      </c>
      <c r="L15" s="44">
        <f t="shared" si="1"/>
        <v>0</v>
      </c>
      <c r="M15" s="5">
        <f t="shared" si="2"/>
        <v>1055686</v>
      </c>
    </row>
    <row r="16" spans="1:13" ht="12">
      <c r="A16" s="41" t="s">
        <v>1175</v>
      </c>
      <c r="B16" s="5"/>
      <c r="C16" s="5"/>
      <c r="D16" s="5">
        <f t="shared" si="3"/>
        <v>0</v>
      </c>
      <c r="E16" s="44"/>
      <c r="F16" s="44">
        <f t="shared" si="0"/>
        <v>0</v>
      </c>
      <c r="G16" s="5"/>
      <c r="H16" s="5">
        <v>38</v>
      </c>
      <c r="I16" s="5">
        <v>989886</v>
      </c>
      <c r="J16" s="44"/>
      <c r="K16" s="44">
        <f t="shared" si="4"/>
        <v>26049.63157894737</v>
      </c>
      <c r="L16" s="44">
        <f t="shared" si="1"/>
        <v>0</v>
      </c>
      <c r="M16" s="5">
        <f t="shared" si="2"/>
        <v>989886</v>
      </c>
    </row>
    <row r="17" spans="1:13" ht="12">
      <c r="A17" s="41" t="s">
        <v>1176</v>
      </c>
      <c r="B17" s="5"/>
      <c r="C17" s="5"/>
      <c r="D17" s="5">
        <f t="shared" si="3"/>
        <v>0</v>
      </c>
      <c r="E17" s="44"/>
      <c r="F17" s="44">
        <f t="shared" si="0"/>
        <v>0</v>
      </c>
      <c r="G17" s="5"/>
      <c r="H17" s="5">
        <v>37</v>
      </c>
      <c r="I17" s="5">
        <v>963989</v>
      </c>
      <c r="J17" s="44"/>
      <c r="K17" s="44">
        <f t="shared" si="4"/>
        <v>26053.756756756757</v>
      </c>
      <c r="L17" s="44">
        <f t="shared" si="1"/>
        <v>0</v>
      </c>
      <c r="M17" s="5">
        <f t="shared" si="2"/>
        <v>963989</v>
      </c>
    </row>
    <row r="18" spans="1:14" ht="12">
      <c r="A18" s="88" t="s">
        <v>169</v>
      </c>
      <c r="B18" s="5"/>
      <c r="C18" s="5">
        <f>SUM(C6:C17)</f>
        <v>7</v>
      </c>
      <c r="D18" s="5">
        <f>SUM(D6:D17)</f>
        <v>42448</v>
      </c>
      <c r="E18" s="5">
        <f>SUM(E6:E17)</f>
        <v>0</v>
      </c>
      <c r="F18" s="5">
        <f>SUM(F6:F17)</f>
        <v>0</v>
      </c>
      <c r="G18" s="5"/>
      <c r="H18" s="5">
        <f>SUM(H6:H17)</f>
        <v>457</v>
      </c>
      <c r="I18" s="5">
        <f>SUM(I6:I17)</f>
        <v>11195761</v>
      </c>
      <c r="J18" s="5">
        <f>SUM(J6:J17)</f>
        <v>0</v>
      </c>
      <c r="K18" s="5">
        <f>SUM(K12:K17)</f>
        <v>137013.5006983415</v>
      </c>
      <c r="L18" s="5">
        <f>SUM(L6:L17)</f>
        <v>0</v>
      </c>
      <c r="M18" s="5">
        <f>SUM(M6:M17)</f>
        <v>11238209</v>
      </c>
      <c r="N18" s="89"/>
    </row>
    <row r="19" spans="1:13" ht="12">
      <c r="A19" s="41"/>
      <c r="B19" s="5"/>
      <c r="C19" s="5"/>
      <c r="D19" s="5"/>
      <c r="E19" s="44"/>
      <c r="F19" s="44"/>
      <c r="G19" s="5"/>
      <c r="H19" s="5"/>
      <c r="I19" s="5"/>
      <c r="J19" s="44"/>
      <c r="K19" s="44"/>
      <c r="L19" s="44"/>
      <c r="M19" s="5"/>
    </row>
    <row r="20" spans="1:13" ht="12">
      <c r="A20" s="41" t="s">
        <v>1242</v>
      </c>
      <c r="B20" s="5"/>
      <c r="C20" s="90">
        <f>C18/12+(E18/365)</f>
        <v>0.5833333333333334</v>
      </c>
      <c r="D20" s="5"/>
      <c r="E20" s="44">
        <f>E18/365</f>
        <v>0</v>
      </c>
      <c r="F20" s="44"/>
      <c r="G20" s="5"/>
      <c r="H20" s="45">
        <f>H18/12</f>
        <v>38.083333333333336</v>
      </c>
      <c r="I20" s="5"/>
      <c r="J20" s="91">
        <f>J18/365</f>
        <v>0</v>
      </c>
      <c r="K20" s="91"/>
      <c r="L20" s="44"/>
      <c r="M20" s="5"/>
    </row>
    <row r="21" spans="1:13" ht="12">
      <c r="A21" s="41"/>
      <c r="B21" s="5"/>
      <c r="C21" s="5"/>
      <c r="D21" s="5"/>
      <c r="E21" s="44"/>
      <c r="F21" s="44"/>
      <c r="G21" s="5"/>
      <c r="H21" s="5"/>
      <c r="I21" s="5"/>
      <c r="J21" s="44"/>
      <c r="K21" s="44"/>
      <c r="L21" s="44"/>
      <c r="M21" s="5"/>
    </row>
    <row r="22" spans="1:13" ht="12">
      <c r="A22" s="41" t="s">
        <v>559</v>
      </c>
      <c r="B22" s="5"/>
      <c r="C22" s="45">
        <f>C20+E20</f>
        <v>0.5833333333333334</v>
      </c>
      <c r="D22" s="5">
        <f>D18/C18</f>
        <v>6064</v>
      </c>
      <c r="E22" s="44"/>
      <c r="F22" s="44"/>
      <c r="G22" s="5"/>
      <c r="H22" s="90"/>
      <c r="I22" s="5">
        <f>I18/H18+2</f>
        <v>24500.382932166303</v>
      </c>
      <c r="J22" s="44"/>
      <c r="K22" s="44">
        <f>K18/6</f>
        <v>22835.58344972358</v>
      </c>
      <c r="L22" s="44"/>
      <c r="M22" s="5"/>
    </row>
    <row r="23" spans="1:13" ht="12">
      <c r="A23" s="41"/>
      <c r="B23" s="5"/>
      <c r="C23" s="5"/>
      <c r="D23" s="5"/>
      <c r="E23" s="44"/>
      <c r="F23" s="44"/>
      <c r="G23" s="5"/>
      <c r="H23" s="5"/>
      <c r="I23" s="5"/>
      <c r="J23" s="44"/>
      <c r="K23" s="44"/>
      <c r="L23" s="44"/>
      <c r="M23" s="5"/>
    </row>
    <row r="24" spans="1:13" ht="12">
      <c r="A24" s="41" t="s">
        <v>1243</v>
      </c>
      <c r="B24" s="5"/>
      <c r="C24" s="5">
        <v>1</v>
      </c>
      <c r="D24" s="5"/>
      <c r="E24" s="44"/>
      <c r="F24" s="44"/>
      <c r="G24" s="5"/>
      <c r="H24" s="5">
        <v>39</v>
      </c>
      <c r="I24" s="5"/>
      <c r="J24" s="44"/>
      <c r="K24" s="44"/>
      <c r="L24" s="44"/>
      <c r="M24" s="5"/>
    </row>
    <row r="25" spans="1:13" ht="12">
      <c r="A25" s="41"/>
      <c r="B25" s="5"/>
      <c r="C25" s="5"/>
      <c r="D25" s="5"/>
      <c r="E25" s="44"/>
      <c r="F25" s="44"/>
      <c r="G25" s="5"/>
      <c r="H25" s="5"/>
      <c r="I25" s="5"/>
      <c r="J25" s="44"/>
      <c r="K25" s="44"/>
      <c r="L25" s="44"/>
      <c r="M25" s="5"/>
    </row>
    <row r="26" spans="1:13" ht="12">
      <c r="A26" s="88" t="s">
        <v>824</v>
      </c>
      <c r="B26" s="5"/>
      <c r="C26" s="5"/>
      <c r="D26" s="5">
        <v>18560</v>
      </c>
      <c r="E26" s="44"/>
      <c r="F26" s="44"/>
      <c r="G26" s="92"/>
      <c r="H26" s="5"/>
      <c r="I26" s="5">
        <v>989886</v>
      </c>
      <c r="J26" s="44"/>
      <c r="K26" s="44"/>
      <c r="L26" s="44">
        <v>541</v>
      </c>
      <c r="M26" s="92"/>
    </row>
    <row r="27" spans="1:13" ht="12">
      <c r="A27" s="93"/>
      <c r="B27" s="5"/>
      <c r="C27" s="5"/>
      <c r="D27" s="5"/>
      <c r="E27" s="44"/>
      <c r="F27" s="44"/>
      <c r="G27" s="5"/>
      <c r="H27" s="5"/>
      <c r="I27" s="5"/>
      <c r="J27" s="44"/>
      <c r="K27" s="44"/>
      <c r="L27" s="44"/>
      <c r="M27" s="94"/>
    </row>
    <row r="28" spans="1:13" ht="12">
      <c r="A28" s="49"/>
      <c r="B28" s="49"/>
      <c r="C28" s="49"/>
      <c r="D28" s="49"/>
      <c r="E28" s="52"/>
      <c r="F28" s="52"/>
      <c r="G28" s="49"/>
      <c r="H28" s="49"/>
      <c r="I28" s="49"/>
      <c r="J28" s="52"/>
      <c r="K28" s="52"/>
      <c r="L28" s="52"/>
      <c r="M28" s="49"/>
    </row>
  </sheetData>
  <sheetProtection/>
  <mergeCells count="15">
    <mergeCell ref="M1:M4"/>
    <mergeCell ref="J3:J4"/>
    <mergeCell ref="L3:L4"/>
    <mergeCell ref="F3:F4"/>
    <mergeCell ref="G3:G4"/>
    <mergeCell ref="H3:H4"/>
    <mergeCell ref="I3:I4"/>
    <mergeCell ref="K3:K4"/>
    <mergeCell ref="A1:A4"/>
    <mergeCell ref="B1:F2"/>
    <mergeCell ref="G1:L2"/>
    <mergeCell ref="B3:B4"/>
    <mergeCell ref="C3:C4"/>
    <mergeCell ref="D3:D4"/>
    <mergeCell ref="E3:E4"/>
  </mergeCells>
  <printOptions horizontalCentered="1"/>
  <pageMargins left="0.25" right="0.7874015748031497" top="1.299212598425197" bottom="0.7086614173228347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SZOCIÁLIS SEGÉLY KIFIZETÉSÉRŐL&amp;R&amp;"Arial,Dőlt"&amp;9 4.számú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5.875" style="98" bestFit="1" customWidth="1"/>
    <col min="2" max="2" width="8.25390625" style="98" customWidth="1"/>
    <col min="3" max="3" width="8.00390625" style="98" bestFit="1" customWidth="1"/>
    <col min="4" max="4" width="10.00390625" style="98" customWidth="1"/>
    <col min="5" max="6" width="12.625" style="98" bestFit="1" customWidth="1"/>
    <col min="7" max="7" width="11.00390625" style="98" bestFit="1" customWidth="1"/>
    <col min="8" max="8" width="11.25390625" style="98" customWidth="1"/>
    <col min="9" max="9" width="12.625" style="98" bestFit="1" customWidth="1"/>
    <col min="10" max="10" width="9.375" style="98" customWidth="1"/>
    <col min="11" max="16384" width="9.125" style="98" customWidth="1"/>
  </cols>
  <sheetData>
    <row r="1" spans="1:9" ht="121.5" customHeight="1" thickBot="1">
      <c r="A1" s="95" t="s">
        <v>1244</v>
      </c>
      <c r="B1" s="96" t="s">
        <v>1245</v>
      </c>
      <c r="C1" s="96" t="s">
        <v>832</v>
      </c>
      <c r="D1" s="96" t="s">
        <v>1247</v>
      </c>
      <c r="E1" s="96" t="s">
        <v>1248</v>
      </c>
      <c r="F1" s="96" t="s">
        <v>833</v>
      </c>
      <c r="G1" s="96" t="s">
        <v>271</v>
      </c>
      <c r="H1" s="97" t="s">
        <v>834</v>
      </c>
      <c r="I1" s="95" t="s">
        <v>273</v>
      </c>
    </row>
    <row r="2" spans="1:9" ht="13.5" thickTop="1">
      <c r="A2" s="85"/>
      <c r="B2" s="85"/>
      <c r="C2" s="85"/>
      <c r="D2" s="85"/>
      <c r="E2" s="99"/>
      <c r="F2" s="85"/>
      <c r="G2" s="100"/>
      <c r="H2" s="101"/>
      <c r="I2" s="82"/>
    </row>
    <row r="3" spans="1:9" ht="12.75">
      <c r="A3" s="82" t="s">
        <v>274</v>
      </c>
      <c r="B3" s="68">
        <v>1</v>
      </c>
      <c r="C3" s="68">
        <v>4</v>
      </c>
      <c r="D3" s="68">
        <v>25800</v>
      </c>
      <c r="E3" s="68">
        <f aca="true" t="shared" si="0" ref="E3:E14">D3*B3</f>
        <v>25800</v>
      </c>
      <c r="F3" s="68">
        <f>D3*C3</f>
        <v>103200</v>
      </c>
      <c r="G3" s="68">
        <f aca="true" t="shared" si="1" ref="G3:G14">E3*18%</f>
        <v>4644</v>
      </c>
      <c r="H3" s="66">
        <f aca="true" t="shared" si="2" ref="H3:H14">F3*18%</f>
        <v>18576</v>
      </c>
      <c r="I3" s="102">
        <f aca="true" t="shared" si="3" ref="I3:I14">E3+F3+G3+H3</f>
        <v>152220</v>
      </c>
    </row>
    <row r="4" spans="1:9" ht="12.75">
      <c r="A4" s="82" t="s">
        <v>275</v>
      </c>
      <c r="B4" s="68">
        <v>1</v>
      </c>
      <c r="C4" s="68">
        <v>4</v>
      </c>
      <c r="D4" s="68">
        <v>26830</v>
      </c>
      <c r="E4" s="68">
        <f t="shared" si="0"/>
        <v>26830</v>
      </c>
      <c r="F4" s="68">
        <f aca="true" t="shared" si="4" ref="F4:F14">D4*C4</f>
        <v>107320</v>
      </c>
      <c r="G4" s="68">
        <f t="shared" si="1"/>
        <v>4829.4</v>
      </c>
      <c r="H4" s="66">
        <f t="shared" si="2"/>
        <v>19317.6</v>
      </c>
      <c r="I4" s="102">
        <f t="shared" si="3"/>
        <v>158297</v>
      </c>
    </row>
    <row r="5" spans="1:9" ht="12.75">
      <c r="A5" s="82" t="s">
        <v>276</v>
      </c>
      <c r="B5" s="68">
        <v>1</v>
      </c>
      <c r="C5" s="68">
        <v>4</v>
      </c>
      <c r="D5" s="68">
        <v>26980</v>
      </c>
      <c r="E5" s="68">
        <f t="shared" si="0"/>
        <v>26980</v>
      </c>
      <c r="F5" s="68">
        <f t="shared" si="4"/>
        <v>107920</v>
      </c>
      <c r="G5" s="68">
        <f t="shared" si="1"/>
        <v>4856.4</v>
      </c>
      <c r="H5" s="66">
        <f t="shared" si="2"/>
        <v>19425.6</v>
      </c>
      <c r="I5" s="102">
        <f t="shared" si="3"/>
        <v>159182</v>
      </c>
    </row>
    <row r="6" spans="1:9" ht="12.75">
      <c r="A6" s="82" t="s">
        <v>277</v>
      </c>
      <c r="B6" s="68">
        <v>1</v>
      </c>
      <c r="C6" s="68">
        <v>4</v>
      </c>
      <c r="D6" s="68">
        <v>27130</v>
      </c>
      <c r="E6" s="68">
        <f t="shared" si="0"/>
        <v>27130</v>
      </c>
      <c r="F6" s="68">
        <f t="shared" si="4"/>
        <v>108520</v>
      </c>
      <c r="G6" s="68">
        <f t="shared" si="1"/>
        <v>4883.4</v>
      </c>
      <c r="H6" s="66">
        <f t="shared" si="2"/>
        <v>19533.6</v>
      </c>
      <c r="I6" s="102">
        <f t="shared" si="3"/>
        <v>160067</v>
      </c>
    </row>
    <row r="7" spans="1:9" ht="12.75">
      <c r="A7" s="82" t="s">
        <v>278</v>
      </c>
      <c r="B7" s="68">
        <v>1</v>
      </c>
      <c r="C7" s="68">
        <v>4</v>
      </c>
      <c r="D7" s="68">
        <v>27130</v>
      </c>
      <c r="E7" s="68">
        <f t="shared" si="0"/>
        <v>27130</v>
      </c>
      <c r="F7" s="68">
        <f t="shared" si="4"/>
        <v>108520</v>
      </c>
      <c r="G7" s="68">
        <f t="shared" si="1"/>
        <v>4883.4</v>
      </c>
      <c r="H7" s="66">
        <f t="shared" si="2"/>
        <v>19533.6</v>
      </c>
      <c r="I7" s="102">
        <f t="shared" si="3"/>
        <v>160067</v>
      </c>
    </row>
    <row r="8" spans="1:9" ht="12.75">
      <c r="A8" s="82" t="s">
        <v>279</v>
      </c>
      <c r="B8" s="68">
        <v>1</v>
      </c>
      <c r="C8" s="68">
        <v>4</v>
      </c>
      <c r="D8" s="68">
        <v>27130</v>
      </c>
      <c r="E8" s="68">
        <f t="shared" si="0"/>
        <v>27130</v>
      </c>
      <c r="F8" s="68">
        <f t="shared" si="4"/>
        <v>108520</v>
      </c>
      <c r="G8" s="68">
        <f t="shared" si="1"/>
        <v>4883.4</v>
      </c>
      <c r="H8" s="66">
        <f t="shared" si="2"/>
        <v>19533.6</v>
      </c>
      <c r="I8" s="102">
        <f t="shared" si="3"/>
        <v>160067</v>
      </c>
    </row>
    <row r="9" spans="1:9" ht="12.75">
      <c r="A9" s="82" t="s">
        <v>280</v>
      </c>
      <c r="B9" s="68">
        <v>1</v>
      </c>
      <c r="C9" s="68">
        <v>4</v>
      </c>
      <c r="D9" s="68">
        <v>27130</v>
      </c>
      <c r="E9" s="68">
        <f t="shared" si="0"/>
        <v>27130</v>
      </c>
      <c r="F9" s="68">
        <f t="shared" si="4"/>
        <v>108520</v>
      </c>
      <c r="G9" s="68">
        <f t="shared" si="1"/>
        <v>4883.4</v>
      </c>
      <c r="H9" s="66">
        <f t="shared" si="2"/>
        <v>19533.6</v>
      </c>
      <c r="I9" s="102">
        <f t="shared" si="3"/>
        <v>160067</v>
      </c>
    </row>
    <row r="10" spans="1:9" ht="12.75">
      <c r="A10" s="82" t="s">
        <v>281</v>
      </c>
      <c r="B10" s="68">
        <v>1</v>
      </c>
      <c r="C10" s="68">
        <v>4</v>
      </c>
      <c r="D10" s="68">
        <v>27130</v>
      </c>
      <c r="E10" s="68">
        <f t="shared" si="0"/>
        <v>27130</v>
      </c>
      <c r="F10" s="68">
        <f t="shared" si="4"/>
        <v>108520</v>
      </c>
      <c r="G10" s="68">
        <f t="shared" si="1"/>
        <v>4883.4</v>
      </c>
      <c r="H10" s="66">
        <f t="shared" si="2"/>
        <v>19533.6</v>
      </c>
      <c r="I10" s="102">
        <f t="shared" si="3"/>
        <v>160067</v>
      </c>
    </row>
    <row r="11" spans="1:9" ht="12.75">
      <c r="A11" s="82" t="s">
        <v>282</v>
      </c>
      <c r="B11" s="68">
        <v>1</v>
      </c>
      <c r="C11" s="68">
        <v>4</v>
      </c>
      <c r="D11" s="68">
        <v>27130</v>
      </c>
      <c r="E11" s="68">
        <f t="shared" si="0"/>
        <v>27130</v>
      </c>
      <c r="F11" s="68">
        <f t="shared" si="4"/>
        <v>108520</v>
      </c>
      <c r="G11" s="68">
        <f t="shared" si="1"/>
        <v>4883.4</v>
      </c>
      <c r="H11" s="66">
        <f t="shared" si="2"/>
        <v>19533.6</v>
      </c>
      <c r="I11" s="102">
        <f t="shared" si="3"/>
        <v>160067</v>
      </c>
    </row>
    <row r="12" spans="1:9" ht="12.75">
      <c r="A12" s="82" t="s">
        <v>283</v>
      </c>
      <c r="B12" s="68">
        <v>1</v>
      </c>
      <c r="C12" s="68">
        <v>4</v>
      </c>
      <c r="D12" s="68">
        <v>27130</v>
      </c>
      <c r="E12" s="68">
        <f t="shared" si="0"/>
        <v>27130</v>
      </c>
      <c r="F12" s="68">
        <f t="shared" si="4"/>
        <v>108520</v>
      </c>
      <c r="G12" s="68">
        <f t="shared" si="1"/>
        <v>4883.4</v>
      </c>
      <c r="H12" s="66">
        <f t="shared" si="2"/>
        <v>19533.6</v>
      </c>
      <c r="I12" s="102">
        <f t="shared" si="3"/>
        <v>160067</v>
      </c>
    </row>
    <row r="13" spans="1:9" ht="12.75">
      <c r="A13" s="82" t="s">
        <v>284</v>
      </c>
      <c r="B13" s="68">
        <v>1</v>
      </c>
      <c r="C13" s="68">
        <v>4</v>
      </c>
      <c r="D13" s="68">
        <v>27130</v>
      </c>
      <c r="E13" s="68">
        <f t="shared" si="0"/>
        <v>27130</v>
      </c>
      <c r="F13" s="68">
        <f t="shared" si="4"/>
        <v>108520</v>
      </c>
      <c r="G13" s="68">
        <f t="shared" si="1"/>
        <v>4883.4</v>
      </c>
      <c r="H13" s="66">
        <f t="shared" si="2"/>
        <v>19533.6</v>
      </c>
      <c r="I13" s="102">
        <f t="shared" si="3"/>
        <v>160067</v>
      </c>
    </row>
    <row r="14" spans="1:9" ht="12.75">
      <c r="A14" s="82" t="s">
        <v>285</v>
      </c>
      <c r="B14" s="68">
        <v>1</v>
      </c>
      <c r="C14" s="68">
        <v>4</v>
      </c>
      <c r="D14" s="68">
        <v>27130</v>
      </c>
      <c r="E14" s="68">
        <f t="shared" si="0"/>
        <v>27130</v>
      </c>
      <c r="F14" s="68">
        <f t="shared" si="4"/>
        <v>108520</v>
      </c>
      <c r="G14" s="68">
        <f t="shared" si="1"/>
        <v>4883.4</v>
      </c>
      <c r="H14" s="66">
        <f t="shared" si="2"/>
        <v>19533.6</v>
      </c>
      <c r="I14" s="102">
        <f t="shared" si="3"/>
        <v>160067</v>
      </c>
    </row>
    <row r="15" spans="1:10" ht="12.75">
      <c r="A15" s="82" t="s">
        <v>168</v>
      </c>
      <c r="B15" s="68">
        <f>SUM(B3:B14)</f>
        <v>12</v>
      </c>
      <c r="C15" s="68">
        <f>SUM(C3:C14)</f>
        <v>48</v>
      </c>
      <c r="D15" s="68"/>
      <c r="E15" s="68">
        <f>SUM(E3:E14)</f>
        <v>323780</v>
      </c>
      <c r="F15" s="68">
        <f>SUM(F3:F14)</f>
        <v>1295120</v>
      </c>
      <c r="G15" s="68">
        <f>SUM(G3:G14)</f>
        <v>58280.40000000001</v>
      </c>
      <c r="H15" s="66">
        <f>SUM(H3:H14)</f>
        <v>233121.60000000003</v>
      </c>
      <c r="I15" s="66">
        <f>SUM(I3:I14)</f>
        <v>1910302</v>
      </c>
      <c r="J15" s="103"/>
    </row>
    <row r="16" spans="1:9" ht="12.75">
      <c r="A16" s="82"/>
      <c r="B16" s="82"/>
      <c r="C16" s="82"/>
      <c r="D16" s="82"/>
      <c r="E16" s="82"/>
      <c r="F16" s="82"/>
      <c r="G16" s="102"/>
      <c r="H16" s="104"/>
      <c r="I16" s="82"/>
    </row>
    <row r="17" spans="1:9" ht="12.75">
      <c r="A17" s="82" t="s">
        <v>287</v>
      </c>
      <c r="B17" s="69">
        <f>B15/12</f>
        <v>1</v>
      </c>
      <c r="C17" s="69">
        <f>C15/12</f>
        <v>4</v>
      </c>
      <c r="D17" s="82"/>
      <c r="E17" s="82"/>
      <c r="F17" s="82"/>
      <c r="G17" s="102"/>
      <c r="H17" s="104"/>
      <c r="I17" s="82"/>
    </row>
    <row r="18" spans="1:9" ht="29.25" customHeight="1">
      <c r="A18" s="71" t="s">
        <v>288</v>
      </c>
      <c r="B18" s="69">
        <v>1</v>
      </c>
      <c r="C18" s="69">
        <v>4</v>
      </c>
      <c r="D18" s="82"/>
      <c r="E18" s="82"/>
      <c r="F18" s="82"/>
      <c r="G18" s="102"/>
      <c r="H18" s="104"/>
      <c r="I18" s="82"/>
    </row>
    <row r="19" spans="1:9" ht="12.75">
      <c r="A19" s="82"/>
      <c r="B19" s="82"/>
      <c r="C19" s="82"/>
      <c r="D19" s="82"/>
      <c r="E19" s="82"/>
      <c r="F19" s="82"/>
      <c r="G19" s="102"/>
      <c r="H19" s="104"/>
      <c r="I19" s="82"/>
    </row>
    <row r="20" spans="1:9" ht="12.75">
      <c r="A20" s="82" t="s">
        <v>289</v>
      </c>
      <c r="B20" s="68">
        <v>1</v>
      </c>
      <c r="C20" s="68">
        <v>4</v>
      </c>
      <c r="D20" s="68"/>
      <c r="E20" s="68"/>
      <c r="F20" s="68"/>
      <c r="G20" s="68"/>
      <c r="H20" s="66"/>
      <c r="I20" s="102"/>
    </row>
    <row r="21" spans="1:9" ht="12.75">
      <c r="A21" s="82"/>
      <c r="B21" s="82"/>
      <c r="C21" s="82"/>
      <c r="D21" s="82"/>
      <c r="E21" s="82"/>
      <c r="F21" s="82"/>
      <c r="G21" s="102"/>
      <c r="H21" s="104"/>
      <c r="I21" s="82"/>
    </row>
    <row r="22" spans="1:9" ht="12.75">
      <c r="A22" s="82" t="s">
        <v>835</v>
      </c>
      <c r="B22" s="82">
        <v>1</v>
      </c>
      <c r="C22" s="82">
        <v>4</v>
      </c>
      <c r="D22" s="68">
        <v>27130</v>
      </c>
      <c r="E22" s="68">
        <f>D22*B22</f>
        <v>27130</v>
      </c>
      <c r="F22" s="68">
        <f>D22*C22</f>
        <v>108520</v>
      </c>
      <c r="G22" s="68"/>
      <c r="H22" s="104"/>
      <c r="I22" s="82"/>
    </row>
    <row r="23" spans="1:9" ht="12.75">
      <c r="A23" s="82"/>
      <c r="B23" s="82"/>
      <c r="C23" s="82"/>
      <c r="D23" s="82"/>
      <c r="E23" s="82"/>
      <c r="F23" s="82"/>
      <c r="G23" s="82"/>
      <c r="H23" s="104"/>
      <c r="I23" s="82"/>
    </row>
    <row r="24" spans="1:9" ht="12.75">
      <c r="A24" s="84"/>
      <c r="B24" s="84"/>
      <c r="C24" s="84"/>
      <c r="D24" s="84"/>
      <c r="E24" s="84"/>
      <c r="F24" s="84"/>
      <c r="G24" s="84"/>
      <c r="H24" s="106"/>
      <c r="I24" s="84"/>
    </row>
  </sheetData>
  <sheetProtection/>
  <printOptions horizontalCentered="1"/>
  <pageMargins left="0.7874015748031497" right="0.7874015748031497" top="1.2598425196850394" bottom="0.7086614173228347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NORMATÍV ÁPOLÁSI DÍJ KIFIZETÉSÉRŐL&amp;R&amp;"Arial,Dőlt"&amp;8 5.számú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9.00390625" defaultRowHeight="12.75"/>
  <cols>
    <col min="1" max="1" width="18.375" style="98" bestFit="1" customWidth="1"/>
    <col min="2" max="2" width="8.00390625" style="98" bestFit="1" customWidth="1"/>
    <col min="3" max="3" width="7.75390625" style="98" customWidth="1"/>
    <col min="4" max="4" width="10.00390625" style="98" bestFit="1" customWidth="1"/>
    <col min="5" max="5" width="13.625" style="98" bestFit="1" customWidth="1"/>
    <col min="6" max="6" width="10.00390625" style="98" bestFit="1" customWidth="1"/>
    <col min="7" max="7" width="13.625" style="98" bestFit="1" customWidth="1"/>
    <col min="8" max="8" width="9.00390625" style="98" bestFit="1" customWidth="1"/>
    <col min="9" max="9" width="12.625" style="98" bestFit="1" customWidth="1"/>
    <col min="10" max="16384" width="9.125" style="98" customWidth="1"/>
  </cols>
  <sheetData>
    <row r="1" spans="1:9" ht="121.5" customHeight="1" thickBot="1">
      <c r="A1" s="95" t="s">
        <v>1244</v>
      </c>
      <c r="B1" s="96" t="s">
        <v>1245</v>
      </c>
      <c r="C1" s="96" t="s">
        <v>1246</v>
      </c>
      <c r="D1" s="96" t="s">
        <v>1247</v>
      </c>
      <c r="E1" s="96" t="s">
        <v>1248</v>
      </c>
      <c r="F1" s="96" t="s">
        <v>269</v>
      </c>
      <c r="G1" s="96" t="s">
        <v>271</v>
      </c>
      <c r="H1" s="97" t="s">
        <v>272</v>
      </c>
      <c r="I1" s="97" t="s">
        <v>290</v>
      </c>
    </row>
    <row r="2" spans="1:9" ht="13.5" thickTop="1">
      <c r="A2" s="85"/>
      <c r="B2" s="85"/>
      <c r="C2" s="85"/>
      <c r="D2" s="85"/>
      <c r="E2" s="99"/>
      <c r="F2" s="85"/>
      <c r="G2" s="100"/>
      <c r="H2" s="101"/>
      <c r="I2" s="108"/>
    </row>
    <row r="3" spans="1:9" ht="12.75">
      <c r="A3" s="82" t="s">
        <v>274</v>
      </c>
      <c r="B3" s="68">
        <v>6</v>
      </c>
      <c r="C3" s="68">
        <v>10</v>
      </c>
      <c r="D3" s="68">
        <v>21464</v>
      </c>
      <c r="E3" s="68">
        <f aca="true" t="shared" si="0" ref="E3:E14">D3*B3</f>
        <v>128784</v>
      </c>
      <c r="F3" s="68">
        <v>7155</v>
      </c>
      <c r="G3" s="68">
        <f aca="true" t="shared" si="1" ref="G3:G14">E3*18%</f>
        <v>23181.12</v>
      </c>
      <c r="H3" s="66">
        <f aca="true" t="shared" si="2" ref="H3:H14">F3*18%</f>
        <v>1287.8999999999999</v>
      </c>
      <c r="I3" s="66">
        <f aca="true" t="shared" si="3" ref="I3:I14">E3+F3+G3+H3</f>
        <v>160408.02</v>
      </c>
    </row>
    <row r="4" spans="1:9" ht="12.75">
      <c r="A4" s="82" t="s">
        <v>275</v>
      </c>
      <c r="B4" s="68">
        <v>6</v>
      </c>
      <c r="C4" s="68"/>
      <c r="D4" s="68">
        <v>21464</v>
      </c>
      <c r="E4" s="68">
        <f t="shared" si="0"/>
        <v>128784</v>
      </c>
      <c r="F4" s="68">
        <f aca="true" t="shared" si="4" ref="F4:F14">D4/30*C4</f>
        <v>0</v>
      </c>
      <c r="G4" s="68">
        <f t="shared" si="1"/>
        <v>23181.12</v>
      </c>
      <c r="H4" s="66">
        <f t="shared" si="2"/>
        <v>0</v>
      </c>
      <c r="I4" s="66">
        <f t="shared" si="3"/>
        <v>151965.12</v>
      </c>
    </row>
    <row r="5" spans="1:9" ht="12.75">
      <c r="A5" s="82" t="s">
        <v>276</v>
      </c>
      <c r="B5" s="68">
        <v>7</v>
      </c>
      <c r="C5" s="68"/>
      <c r="D5" s="68">
        <v>21704</v>
      </c>
      <c r="E5" s="68">
        <f t="shared" si="0"/>
        <v>151928</v>
      </c>
      <c r="F5" s="68">
        <f t="shared" si="4"/>
        <v>0</v>
      </c>
      <c r="G5" s="68">
        <f t="shared" si="1"/>
        <v>27347.039999999997</v>
      </c>
      <c r="H5" s="66">
        <f t="shared" si="2"/>
        <v>0</v>
      </c>
      <c r="I5" s="66">
        <f t="shared" si="3"/>
        <v>179275.04</v>
      </c>
    </row>
    <row r="6" spans="1:9" ht="12.75">
      <c r="A6" s="82" t="s">
        <v>277</v>
      </c>
      <c r="B6" s="68">
        <v>7</v>
      </c>
      <c r="C6" s="68"/>
      <c r="D6" s="68">
        <v>21704</v>
      </c>
      <c r="E6" s="68">
        <f t="shared" si="0"/>
        <v>151928</v>
      </c>
      <c r="F6" s="68">
        <f t="shared" si="4"/>
        <v>0</v>
      </c>
      <c r="G6" s="68">
        <f t="shared" si="1"/>
        <v>27347.039999999997</v>
      </c>
      <c r="H6" s="66">
        <f t="shared" si="2"/>
        <v>0</v>
      </c>
      <c r="I6" s="66">
        <f t="shared" si="3"/>
        <v>179275.04</v>
      </c>
    </row>
    <row r="7" spans="1:9" ht="12.75">
      <c r="A7" s="82" t="s">
        <v>278</v>
      </c>
      <c r="B7" s="68">
        <v>8</v>
      </c>
      <c r="C7" s="68"/>
      <c r="D7" s="68">
        <v>21704</v>
      </c>
      <c r="E7" s="68">
        <f t="shared" si="0"/>
        <v>173632</v>
      </c>
      <c r="F7" s="68">
        <f t="shared" si="4"/>
        <v>0</v>
      </c>
      <c r="G7" s="68">
        <f t="shared" si="1"/>
        <v>31253.76</v>
      </c>
      <c r="H7" s="66">
        <f t="shared" si="2"/>
        <v>0</v>
      </c>
      <c r="I7" s="66">
        <f t="shared" si="3"/>
        <v>204885.76</v>
      </c>
    </row>
    <row r="8" spans="1:9" ht="12.75">
      <c r="A8" s="82" t="s">
        <v>279</v>
      </c>
      <c r="B8" s="68">
        <v>8</v>
      </c>
      <c r="C8" s="68"/>
      <c r="D8" s="68">
        <v>21704</v>
      </c>
      <c r="E8" s="68">
        <f t="shared" si="0"/>
        <v>173632</v>
      </c>
      <c r="F8" s="68">
        <f t="shared" si="4"/>
        <v>0</v>
      </c>
      <c r="G8" s="68">
        <f t="shared" si="1"/>
        <v>31253.76</v>
      </c>
      <c r="H8" s="66">
        <f t="shared" si="2"/>
        <v>0</v>
      </c>
      <c r="I8" s="66">
        <f t="shared" si="3"/>
        <v>204885.76</v>
      </c>
    </row>
    <row r="9" spans="1:9" ht="12.75">
      <c r="A9" s="82" t="s">
        <v>280</v>
      </c>
      <c r="B9" s="68">
        <v>8</v>
      </c>
      <c r="C9" s="68"/>
      <c r="D9" s="68">
        <v>21704</v>
      </c>
      <c r="E9" s="68">
        <f t="shared" si="0"/>
        <v>173632</v>
      </c>
      <c r="F9" s="68">
        <f t="shared" si="4"/>
        <v>0</v>
      </c>
      <c r="G9" s="68">
        <f t="shared" si="1"/>
        <v>31253.76</v>
      </c>
      <c r="H9" s="66">
        <f t="shared" si="2"/>
        <v>0</v>
      </c>
      <c r="I9" s="66">
        <f t="shared" si="3"/>
        <v>204885.76</v>
      </c>
    </row>
    <row r="10" spans="1:9" ht="12.75">
      <c r="A10" s="82" t="s">
        <v>281</v>
      </c>
      <c r="B10" s="68">
        <v>7</v>
      </c>
      <c r="C10" s="68"/>
      <c r="D10" s="68">
        <v>21704</v>
      </c>
      <c r="E10" s="68">
        <f t="shared" si="0"/>
        <v>151928</v>
      </c>
      <c r="F10" s="68">
        <f t="shared" si="4"/>
        <v>0</v>
      </c>
      <c r="G10" s="68">
        <f t="shared" si="1"/>
        <v>27347.039999999997</v>
      </c>
      <c r="H10" s="66">
        <f t="shared" si="2"/>
        <v>0</v>
      </c>
      <c r="I10" s="66">
        <f t="shared" si="3"/>
        <v>179275.04</v>
      </c>
    </row>
    <row r="11" spans="1:9" ht="12.75">
      <c r="A11" s="82" t="s">
        <v>282</v>
      </c>
      <c r="B11" s="68">
        <v>7</v>
      </c>
      <c r="C11" s="68"/>
      <c r="D11" s="68">
        <v>21704</v>
      </c>
      <c r="E11" s="68">
        <f t="shared" si="0"/>
        <v>151928</v>
      </c>
      <c r="F11" s="68">
        <f t="shared" si="4"/>
        <v>0</v>
      </c>
      <c r="G11" s="68">
        <f t="shared" si="1"/>
        <v>27347.039999999997</v>
      </c>
      <c r="H11" s="66">
        <f t="shared" si="2"/>
        <v>0</v>
      </c>
      <c r="I11" s="66">
        <f t="shared" si="3"/>
        <v>179275.04</v>
      </c>
    </row>
    <row r="12" spans="1:9" ht="12.75">
      <c r="A12" s="82" t="s">
        <v>283</v>
      </c>
      <c r="B12" s="68">
        <v>7</v>
      </c>
      <c r="C12" s="68"/>
      <c r="D12" s="68">
        <v>21704</v>
      </c>
      <c r="E12" s="68">
        <f t="shared" si="0"/>
        <v>151928</v>
      </c>
      <c r="F12" s="68">
        <f t="shared" si="4"/>
        <v>0</v>
      </c>
      <c r="G12" s="68">
        <f t="shared" si="1"/>
        <v>27347.039999999997</v>
      </c>
      <c r="H12" s="66">
        <f t="shared" si="2"/>
        <v>0</v>
      </c>
      <c r="I12" s="66">
        <f t="shared" si="3"/>
        <v>179275.04</v>
      </c>
    </row>
    <row r="13" spans="1:9" ht="12.75">
      <c r="A13" s="82" t="s">
        <v>284</v>
      </c>
      <c r="B13" s="68">
        <v>7</v>
      </c>
      <c r="C13" s="68"/>
      <c r="D13" s="68">
        <v>21704</v>
      </c>
      <c r="E13" s="68">
        <f t="shared" si="0"/>
        <v>151928</v>
      </c>
      <c r="F13" s="68">
        <f t="shared" si="4"/>
        <v>0</v>
      </c>
      <c r="G13" s="68">
        <f t="shared" si="1"/>
        <v>27347.039999999997</v>
      </c>
      <c r="H13" s="66">
        <f t="shared" si="2"/>
        <v>0</v>
      </c>
      <c r="I13" s="66">
        <f t="shared" si="3"/>
        <v>179275.04</v>
      </c>
    </row>
    <row r="14" spans="1:9" ht="12.75">
      <c r="A14" s="82" t="s">
        <v>285</v>
      </c>
      <c r="B14" s="68">
        <v>7</v>
      </c>
      <c r="C14" s="68"/>
      <c r="D14" s="68">
        <v>21704</v>
      </c>
      <c r="E14" s="68">
        <f t="shared" si="0"/>
        <v>151928</v>
      </c>
      <c r="F14" s="68">
        <f t="shared" si="4"/>
        <v>0</v>
      </c>
      <c r="G14" s="68">
        <f t="shared" si="1"/>
        <v>27347.039999999997</v>
      </c>
      <c r="H14" s="66">
        <f t="shared" si="2"/>
        <v>0</v>
      </c>
      <c r="I14" s="66">
        <f t="shared" si="3"/>
        <v>179275.04</v>
      </c>
    </row>
    <row r="15" spans="1:9" ht="12.75">
      <c r="A15" s="82" t="s">
        <v>286</v>
      </c>
      <c r="B15" s="68">
        <f>SUM(B3:B14)</f>
        <v>85</v>
      </c>
      <c r="C15" s="68">
        <f>SUM(C3:C14)</f>
        <v>10</v>
      </c>
      <c r="D15" s="68"/>
      <c r="E15" s="68">
        <f>SUM(E3:E14)</f>
        <v>1841960</v>
      </c>
      <c r="F15" s="68">
        <f>SUM(F3:F14)</f>
        <v>7155</v>
      </c>
      <c r="G15" s="68">
        <f>SUM(G3:G14)</f>
        <v>331552.8</v>
      </c>
      <c r="H15" s="66">
        <f>SUM(H3:H14)</f>
        <v>1287.8999999999999</v>
      </c>
      <c r="I15" s="66">
        <f>SUM(I3:I14)</f>
        <v>2181955.7</v>
      </c>
    </row>
    <row r="16" spans="1:9" ht="12.75">
      <c r="A16" s="82"/>
      <c r="B16" s="82"/>
      <c r="C16" s="82"/>
      <c r="D16" s="82"/>
      <c r="E16" s="82"/>
      <c r="F16" s="82"/>
      <c r="G16" s="102"/>
      <c r="H16" s="104"/>
      <c r="I16" s="104"/>
    </row>
    <row r="17" spans="1:9" ht="12.75">
      <c r="A17" s="82" t="s">
        <v>287</v>
      </c>
      <c r="B17" s="69">
        <f>B15/12</f>
        <v>7.083333333333333</v>
      </c>
      <c r="C17" s="69">
        <f>C15/365</f>
        <v>0.0273972602739726</v>
      </c>
      <c r="D17" s="82"/>
      <c r="E17" s="82"/>
      <c r="F17" s="82"/>
      <c r="G17" s="102"/>
      <c r="H17" s="104"/>
      <c r="I17" s="104"/>
    </row>
    <row r="18" spans="1:9" ht="25.5">
      <c r="A18" s="71" t="s">
        <v>288</v>
      </c>
      <c r="B18" s="69">
        <f>B17+C17</f>
        <v>7.110730593607306</v>
      </c>
      <c r="C18" s="82"/>
      <c r="D18" s="82"/>
      <c r="E18" s="82"/>
      <c r="F18" s="82"/>
      <c r="G18" s="102"/>
      <c r="H18" s="104"/>
      <c r="I18" s="104"/>
    </row>
    <row r="19" spans="1:9" ht="12.75">
      <c r="A19" s="82"/>
      <c r="B19" s="82"/>
      <c r="C19" s="82"/>
      <c r="D19" s="82"/>
      <c r="E19" s="82"/>
      <c r="F19" s="82"/>
      <c r="G19" s="102"/>
      <c r="H19" s="104"/>
      <c r="I19" s="104"/>
    </row>
    <row r="20" spans="1:9" ht="12.75">
      <c r="A20" s="82" t="s">
        <v>289</v>
      </c>
      <c r="B20" s="68">
        <v>8</v>
      </c>
      <c r="C20" s="68"/>
      <c r="D20" s="68"/>
      <c r="E20" s="68"/>
      <c r="F20" s="68"/>
      <c r="G20" s="68"/>
      <c r="H20" s="66"/>
      <c r="I20" s="66"/>
    </row>
    <row r="21" spans="1:9" ht="12.75">
      <c r="A21" s="82"/>
      <c r="B21" s="82"/>
      <c r="C21" s="82"/>
      <c r="D21" s="82"/>
      <c r="E21" s="102"/>
      <c r="F21" s="82"/>
      <c r="G21" s="102"/>
      <c r="H21" s="104"/>
      <c r="I21" s="105"/>
    </row>
    <row r="22" spans="1:9" s="112" customFormat="1" ht="12.75">
      <c r="A22" s="109" t="s">
        <v>837</v>
      </c>
      <c r="B22" s="109"/>
      <c r="C22" s="109"/>
      <c r="D22" s="109"/>
      <c r="E22" s="113">
        <v>130224</v>
      </c>
      <c r="F22" s="109"/>
      <c r="G22" s="68">
        <f>E22*18%</f>
        <v>23440.32</v>
      </c>
      <c r="H22" s="66">
        <f>F22*18%</f>
        <v>0</v>
      </c>
      <c r="I22" s="111"/>
    </row>
    <row r="23" spans="1:9" ht="12.75">
      <c r="A23" s="82"/>
      <c r="B23" s="82"/>
      <c r="C23" s="82"/>
      <c r="D23" s="82"/>
      <c r="E23" s="82"/>
      <c r="F23" s="82"/>
      <c r="G23" s="82"/>
      <c r="H23" s="104"/>
      <c r="I23" s="104"/>
    </row>
    <row r="24" spans="1:9" ht="12.75">
      <c r="A24" s="84"/>
      <c r="B24" s="84"/>
      <c r="C24" s="84"/>
      <c r="D24" s="84"/>
      <c r="E24" s="84"/>
      <c r="F24" s="84"/>
      <c r="G24" s="84"/>
      <c r="H24" s="106"/>
      <c r="I24" s="106"/>
    </row>
  </sheetData>
  <sheetProtection/>
  <printOptions horizontalCentered="1"/>
  <pageMargins left="0.7874015748031497" right="0.7874015748031497" top="1.2598425196850394" bottom="0.6692913385826772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MÉLTÁNYOSSÁGI ÁPOLÁSÍ DÍJAK KIFIZETÉSÉRŐL&amp;R&amp;"Arial,Dőlt"&amp;8 6.számú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19.75390625" style="37" customWidth="1"/>
    <col min="2" max="2" width="11.875" style="54" bestFit="1" customWidth="1"/>
    <col min="3" max="3" width="11.625" style="37" customWidth="1"/>
    <col min="4" max="5" width="13.875" style="37" customWidth="1"/>
    <col min="6" max="6" width="12.625" style="37" customWidth="1"/>
    <col min="7" max="16384" width="9.125" style="37" customWidth="1"/>
  </cols>
  <sheetData>
    <row r="1" spans="1:5" ht="69.75" customHeight="1">
      <c r="A1" s="356" t="s">
        <v>626</v>
      </c>
      <c r="B1" s="430" t="s">
        <v>1677</v>
      </c>
      <c r="C1" s="426" t="s">
        <v>562</v>
      </c>
      <c r="D1" s="426" t="s">
        <v>1678</v>
      </c>
      <c r="E1" s="426" t="s">
        <v>627</v>
      </c>
    </row>
    <row r="2" spans="1:5" ht="12.75" thickBot="1">
      <c r="A2" s="352"/>
      <c r="B2" s="431"/>
      <c r="C2" s="352"/>
      <c r="D2" s="352"/>
      <c r="E2" s="352"/>
    </row>
    <row r="3" spans="1:5" ht="12.75" thickTop="1">
      <c r="A3" s="41"/>
      <c r="B3" s="45"/>
      <c r="C3" s="41"/>
      <c r="D3" s="41"/>
      <c r="E3" s="41"/>
    </row>
    <row r="4" spans="1:5" ht="12">
      <c r="A4" s="41" t="s">
        <v>1165</v>
      </c>
      <c r="B4" s="45">
        <v>38</v>
      </c>
      <c r="C4" s="5">
        <f>D4/B4</f>
        <v>5515.789473684211</v>
      </c>
      <c r="D4" s="5">
        <v>209600</v>
      </c>
      <c r="E4" s="5">
        <f aca="true" t="shared" si="0" ref="E4:E15">D4*90%</f>
        <v>188640</v>
      </c>
    </row>
    <row r="5" spans="1:5" ht="12">
      <c r="A5" s="41" t="s">
        <v>1166</v>
      </c>
      <c r="B5" s="45">
        <v>38</v>
      </c>
      <c r="C5" s="5">
        <f aca="true" t="shared" si="1" ref="C5:C15">D5/B5</f>
        <v>5457.894736842105</v>
      </c>
      <c r="D5" s="5">
        <v>207400</v>
      </c>
      <c r="E5" s="5">
        <f t="shared" si="0"/>
        <v>186660</v>
      </c>
    </row>
    <row r="6" spans="1:5" ht="12">
      <c r="A6" s="41" t="s">
        <v>1167</v>
      </c>
      <c r="B6" s="45">
        <v>37</v>
      </c>
      <c r="C6" s="5">
        <f t="shared" si="1"/>
        <v>5427.027027027027</v>
      </c>
      <c r="D6" s="5">
        <v>200800</v>
      </c>
      <c r="E6" s="5">
        <f t="shared" si="0"/>
        <v>180720</v>
      </c>
    </row>
    <row r="7" spans="1:5" ht="12">
      <c r="A7" s="41" t="s">
        <v>1168</v>
      </c>
      <c r="B7" s="45">
        <v>35</v>
      </c>
      <c r="C7" s="5">
        <f t="shared" si="1"/>
        <v>5391.428571428572</v>
      </c>
      <c r="D7" s="5">
        <v>188700</v>
      </c>
      <c r="E7" s="5">
        <f t="shared" si="0"/>
        <v>169830</v>
      </c>
    </row>
    <row r="8" spans="1:5" ht="12">
      <c r="A8" s="41" t="s">
        <v>1169</v>
      </c>
      <c r="B8" s="45">
        <v>35</v>
      </c>
      <c r="C8" s="5">
        <f t="shared" si="1"/>
        <v>5431.428571428572</v>
      </c>
      <c r="D8" s="5">
        <v>190100</v>
      </c>
      <c r="E8" s="5">
        <f t="shared" si="0"/>
        <v>171090</v>
      </c>
    </row>
    <row r="9" spans="1:5" ht="12">
      <c r="A9" s="41" t="s">
        <v>1170</v>
      </c>
      <c r="B9" s="45">
        <v>37</v>
      </c>
      <c r="C9" s="5">
        <f t="shared" si="1"/>
        <v>5394.594594594595</v>
      </c>
      <c r="D9" s="5">
        <v>199600</v>
      </c>
      <c r="E9" s="5">
        <f t="shared" si="0"/>
        <v>179640</v>
      </c>
    </row>
    <row r="10" spans="1:5" ht="12">
      <c r="A10" s="41" t="s">
        <v>1171</v>
      </c>
      <c r="B10" s="45">
        <v>36</v>
      </c>
      <c r="C10" s="5">
        <f t="shared" si="1"/>
        <v>5336.111111111111</v>
      </c>
      <c r="D10" s="5">
        <v>192100</v>
      </c>
      <c r="E10" s="5">
        <f t="shared" si="0"/>
        <v>172890</v>
      </c>
    </row>
    <row r="11" spans="1:5" ht="12">
      <c r="A11" s="41" t="s">
        <v>1172</v>
      </c>
      <c r="B11" s="45">
        <v>34</v>
      </c>
      <c r="C11" s="5">
        <f t="shared" si="1"/>
        <v>5414.705882352941</v>
      </c>
      <c r="D11" s="5">
        <v>184100</v>
      </c>
      <c r="E11" s="5">
        <f t="shared" si="0"/>
        <v>165690</v>
      </c>
    </row>
    <row r="12" spans="1:5" ht="12">
      <c r="A12" s="41" t="s">
        <v>1173</v>
      </c>
      <c r="B12" s="45">
        <v>36</v>
      </c>
      <c r="C12" s="5">
        <f t="shared" si="1"/>
        <v>5438.888888888889</v>
      </c>
      <c r="D12" s="5">
        <v>195800</v>
      </c>
      <c r="E12" s="5">
        <f t="shared" si="0"/>
        <v>176220</v>
      </c>
    </row>
    <row r="13" spans="1:5" ht="12">
      <c r="A13" s="41" t="s">
        <v>1174</v>
      </c>
      <c r="B13" s="45">
        <v>39</v>
      </c>
      <c r="C13" s="5">
        <f t="shared" si="1"/>
        <v>5300</v>
      </c>
      <c r="D13" s="5">
        <v>206700</v>
      </c>
      <c r="E13" s="5">
        <f t="shared" si="0"/>
        <v>186030</v>
      </c>
    </row>
    <row r="14" spans="1:5" ht="12">
      <c r="A14" s="41" t="s">
        <v>1175</v>
      </c>
      <c r="B14" s="45">
        <v>35</v>
      </c>
      <c r="C14" s="5">
        <f t="shared" si="1"/>
        <v>5405.714285714285</v>
      </c>
      <c r="D14" s="5">
        <v>189200</v>
      </c>
      <c r="E14" s="5">
        <f t="shared" si="0"/>
        <v>170280</v>
      </c>
    </row>
    <row r="15" spans="1:5" ht="12">
      <c r="A15" s="41" t="s">
        <v>1176</v>
      </c>
      <c r="B15" s="45">
        <v>36</v>
      </c>
      <c r="C15" s="5">
        <f t="shared" si="1"/>
        <v>5683.333333333333</v>
      </c>
      <c r="D15" s="5">
        <v>204600</v>
      </c>
      <c r="E15" s="5">
        <f t="shared" si="0"/>
        <v>184140</v>
      </c>
    </row>
    <row r="16" spans="1:6" ht="12">
      <c r="A16" s="41" t="s">
        <v>628</v>
      </c>
      <c r="B16" s="45">
        <f>SUM(B4:B15)</f>
        <v>436</v>
      </c>
      <c r="C16" s="45">
        <f>SUM(C4:C15)</f>
        <v>65196.91647640565</v>
      </c>
      <c r="D16" s="5">
        <f>SUM(D4:D15)</f>
        <v>2368700</v>
      </c>
      <c r="E16" s="5">
        <f>SUM(E4:E15)</f>
        <v>2131830</v>
      </c>
      <c r="F16" s="114"/>
    </row>
    <row r="17" spans="1:5" ht="12">
      <c r="A17" s="41"/>
      <c r="B17" s="45"/>
      <c r="C17" s="5"/>
      <c r="D17" s="5"/>
      <c r="E17" s="5"/>
    </row>
    <row r="18" spans="1:5" ht="12">
      <c r="A18" s="41"/>
      <c r="B18" s="45"/>
      <c r="C18" s="5"/>
      <c r="D18" s="5"/>
      <c r="E18" s="5"/>
    </row>
    <row r="19" spans="1:6" ht="12">
      <c r="A19" s="41" t="s">
        <v>629</v>
      </c>
      <c r="B19" s="45">
        <f>B16/12</f>
        <v>36.333333333333336</v>
      </c>
      <c r="C19" s="5"/>
      <c r="D19" s="5">
        <f>SUM(D16:D18)</f>
        <v>2368700</v>
      </c>
      <c r="E19" s="5">
        <f>SUM(E16:E18)</f>
        <v>2131830</v>
      </c>
      <c r="F19" s="114"/>
    </row>
    <row r="20" spans="1:5" ht="12">
      <c r="A20" s="41"/>
      <c r="B20" s="45"/>
      <c r="C20" s="41"/>
      <c r="D20" s="41"/>
      <c r="E20" s="41"/>
    </row>
    <row r="21" spans="1:5" ht="12">
      <c r="A21" s="93" t="s">
        <v>1683</v>
      </c>
      <c r="B21" s="45">
        <v>38</v>
      </c>
      <c r="C21" s="41"/>
      <c r="D21" s="41"/>
      <c r="E21" s="41"/>
    </row>
    <row r="22" spans="1:5" ht="12">
      <c r="A22" s="93" t="s">
        <v>563</v>
      </c>
      <c r="B22" s="45"/>
      <c r="C22" s="5">
        <f>C16/12</f>
        <v>5433.076373033804</v>
      </c>
      <c r="D22" s="5"/>
      <c r="E22" s="5"/>
    </row>
    <row r="23" spans="1:5" ht="12">
      <c r="A23" s="93" t="s">
        <v>295</v>
      </c>
      <c r="B23" s="45"/>
      <c r="C23" s="5"/>
      <c r="D23" s="5">
        <v>204600</v>
      </c>
      <c r="E23" s="5"/>
    </row>
    <row r="24" spans="1:5" ht="12">
      <c r="A24" s="93"/>
      <c r="B24" s="45"/>
      <c r="C24" s="5"/>
      <c r="D24" s="5"/>
      <c r="E24" s="5"/>
    </row>
    <row r="25" spans="1:5" ht="12">
      <c r="A25" s="49"/>
      <c r="B25" s="50"/>
      <c r="C25" s="51"/>
      <c r="D25" s="51"/>
      <c r="E25" s="51"/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dőlt"&amp;11KIMUTATÁS A 2007. ÉVI LAKÁSFENNTARTÁSI TÁMOGATÁSRÓL&amp;R&amp;"Arial,Dőlt"&amp;8 7.számú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pane xSplit="1" ySplit="5" topLeftCell="S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4" sqref="A44"/>
    </sheetView>
  </sheetViews>
  <sheetFormatPr defaultColWidth="9.00390625" defaultRowHeight="12.75"/>
  <cols>
    <col min="1" max="1" width="19.125" style="176" customWidth="1"/>
    <col min="2" max="2" width="7.875" style="177" bestFit="1" customWidth="1"/>
    <col min="3" max="3" width="8.375" style="254" customWidth="1"/>
    <col min="4" max="4" width="9.25390625" style="178" customWidth="1"/>
    <col min="5" max="5" width="11.875" style="178" customWidth="1"/>
    <col min="6" max="6" width="8.25390625" style="178" customWidth="1"/>
    <col min="7" max="7" width="10.00390625" style="178" customWidth="1"/>
    <col min="8" max="8" width="9.625" style="178" customWidth="1"/>
    <col min="9" max="9" width="11.125" style="178" customWidth="1"/>
    <col min="10" max="10" width="10.00390625" style="178" customWidth="1"/>
    <col min="11" max="13" width="11.125" style="178" customWidth="1"/>
    <col min="14" max="14" width="19.125" style="176" customWidth="1"/>
    <col min="15" max="16" width="11.125" style="178" customWidth="1"/>
    <col min="17" max="17" width="9.75390625" style="178" customWidth="1"/>
    <col min="18" max="18" width="9.00390625" style="182" customWidth="1"/>
    <col min="19" max="19" width="9.625" style="182" customWidth="1"/>
    <col min="20" max="20" width="9.75390625" style="182" customWidth="1"/>
    <col min="21" max="21" width="7.125" style="178" customWidth="1"/>
    <col min="22" max="22" width="7.375" style="178" customWidth="1"/>
    <col min="23" max="23" width="7.875" style="179" customWidth="1"/>
    <col min="24" max="24" width="9.625" style="178" customWidth="1"/>
    <col min="25" max="25" width="7.75390625" style="178" customWidth="1"/>
    <col min="26" max="26" width="19.125" style="176" customWidth="1"/>
    <col min="27" max="27" width="12.875" style="178" bestFit="1" customWidth="1"/>
    <col min="28" max="28" width="10.75390625" style="178" bestFit="1" customWidth="1"/>
    <col min="29" max="29" width="12.875" style="178" bestFit="1" customWidth="1"/>
    <col min="30" max="30" width="9.25390625" style="176" customWidth="1"/>
    <col min="31" max="31" width="11.375" style="178" customWidth="1"/>
    <col min="32" max="32" width="13.875" style="176" customWidth="1"/>
    <col min="33" max="33" width="9.875" style="180" customWidth="1"/>
    <col min="34" max="34" width="9.125" style="177" customWidth="1"/>
    <col min="35" max="35" width="10.00390625" style="177" bestFit="1" customWidth="1"/>
    <col min="36" max="36" width="11.625" style="178" bestFit="1" customWidth="1"/>
    <col min="37" max="16384" width="9.125" style="176" customWidth="1"/>
  </cols>
  <sheetData>
    <row r="1" spans="1:36" ht="12.75">
      <c r="A1" s="432" t="s">
        <v>220</v>
      </c>
      <c r="B1" s="435" t="s">
        <v>1490</v>
      </c>
      <c r="C1" s="438" t="s">
        <v>1492</v>
      </c>
      <c r="D1" s="450" t="s">
        <v>1070</v>
      </c>
      <c r="E1" s="451"/>
      <c r="F1" s="451"/>
      <c r="G1" s="451"/>
      <c r="H1" s="451"/>
      <c r="I1" s="451"/>
      <c r="J1" s="451"/>
      <c r="K1" s="451"/>
      <c r="L1" s="451"/>
      <c r="M1" s="452"/>
      <c r="N1" s="432" t="s">
        <v>220</v>
      </c>
      <c r="O1" s="450">
        <v>2007</v>
      </c>
      <c r="P1" s="481"/>
      <c r="Q1" s="481"/>
      <c r="R1" s="481"/>
      <c r="S1" s="481"/>
      <c r="T1" s="482"/>
      <c r="U1" s="455" t="s">
        <v>1477</v>
      </c>
      <c r="V1" s="455" t="s">
        <v>1015</v>
      </c>
      <c r="W1" s="460" t="s">
        <v>1478</v>
      </c>
      <c r="X1" s="483" t="s">
        <v>899</v>
      </c>
      <c r="Y1" s="484"/>
      <c r="Z1" s="432" t="s">
        <v>220</v>
      </c>
      <c r="AA1" s="466" t="s">
        <v>1071</v>
      </c>
      <c r="AB1" s="466" t="s">
        <v>1072</v>
      </c>
      <c r="AC1" s="455" t="s">
        <v>1510</v>
      </c>
      <c r="AD1" s="447" t="s">
        <v>646</v>
      </c>
      <c r="AE1" s="455" t="s">
        <v>1310</v>
      </c>
      <c r="AF1" s="447" t="s">
        <v>900</v>
      </c>
      <c r="AG1" s="476" t="s">
        <v>647</v>
      </c>
      <c r="AH1" s="261"/>
      <c r="AI1" s="262"/>
      <c r="AJ1" s="263"/>
    </row>
    <row r="2" spans="1:36" ht="11.25" customHeight="1">
      <c r="A2" s="433"/>
      <c r="B2" s="436"/>
      <c r="C2" s="439"/>
      <c r="D2" s="441" t="s">
        <v>1491</v>
      </c>
      <c r="E2" s="441" t="s">
        <v>1493</v>
      </c>
      <c r="F2" s="441" t="s">
        <v>1494</v>
      </c>
      <c r="G2" s="441" t="s">
        <v>1491</v>
      </c>
      <c r="H2" s="448" t="s">
        <v>898</v>
      </c>
      <c r="I2" s="441" t="s">
        <v>1530</v>
      </c>
      <c r="J2" s="444" t="s">
        <v>961</v>
      </c>
      <c r="K2" s="445"/>
      <c r="L2" s="445"/>
      <c r="M2" s="446"/>
      <c r="N2" s="433"/>
      <c r="O2" s="463" t="s">
        <v>961</v>
      </c>
      <c r="P2" s="464"/>
      <c r="Q2" s="464"/>
      <c r="R2" s="464"/>
      <c r="S2" s="464"/>
      <c r="T2" s="465"/>
      <c r="U2" s="456"/>
      <c r="V2" s="458"/>
      <c r="W2" s="461"/>
      <c r="X2" s="441" t="s">
        <v>1476</v>
      </c>
      <c r="Y2" s="441" t="s">
        <v>1479</v>
      </c>
      <c r="Z2" s="433"/>
      <c r="AA2" s="467"/>
      <c r="AB2" s="467"/>
      <c r="AC2" s="469"/>
      <c r="AD2" s="474"/>
      <c r="AE2" s="479"/>
      <c r="AF2" s="474"/>
      <c r="AG2" s="477"/>
      <c r="AH2" s="471" t="s">
        <v>231</v>
      </c>
      <c r="AI2" s="448" t="s">
        <v>232</v>
      </c>
      <c r="AJ2" s="441" t="s">
        <v>648</v>
      </c>
    </row>
    <row r="3" spans="1:36" ht="11.25" customHeight="1">
      <c r="A3" s="433"/>
      <c r="B3" s="436"/>
      <c r="C3" s="439"/>
      <c r="D3" s="442"/>
      <c r="E3" s="453"/>
      <c r="F3" s="453"/>
      <c r="G3" s="453"/>
      <c r="H3" s="448"/>
      <c r="I3" s="453"/>
      <c r="J3" s="441" t="s">
        <v>1376</v>
      </c>
      <c r="K3" s="441" t="s">
        <v>956</v>
      </c>
      <c r="L3" s="441" t="s">
        <v>418</v>
      </c>
      <c r="M3" s="448" t="s">
        <v>957</v>
      </c>
      <c r="N3" s="433"/>
      <c r="O3" s="447" t="s">
        <v>958</v>
      </c>
      <c r="P3" s="447" t="s">
        <v>959</v>
      </c>
      <c r="Q3" s="447" t="s">
        <v>960</v>
      </c>
      <c r="R3" s="447" t="s">
        <v>1017</v>
      </c>
      <c r="S3" s="447" t="s">
        <v>897</v>
      </c>
      <c r="T3" s="447" t="s">
        <v>1016</v>
      </c>
      <c r="U3" s="456"/>
      <c r="V3" s="458"/>
      <c r="W3" s="461"/>
      <c r="X3" s="474"/>
      <c r="Y3" s="474"/>
      <c r="Z3" s="433"/>
      <c r="AA3" s="467"/>
      <c r="AB3" s="467"/>
      <c r="AC3" s="469"/>
      <c r="AD3" s="474"/>
      <c r="AE3" s="479"/>
      <c r="AF3" s="474"/>
      <c r="AG3" s="477"/>
      <c r="AH3" s="472"/>
      <c r="AI3" s="436"/>
      <c r="AJ3" s="442"/>
    </row>
    <row r="4" spans="1:36" ht="11.25" customHeight="1">
      <c r="A4" s="433"/>
      <c r="B4" s="436"/>
      <c r="C4" s="439"/>
      <c r="D4" s="442"/>
      <c r="E4" s="453"/>
      <c r="F4" s="453"/>
      <c r="G4" s="453"/>
      <c r="H4" s="448"/>
      <c r="I4" s="453"/>
      <c r="J4" s="448"/>
      <c r="K4" s="448"/>
      <c r="L4" s="448"/>
      <c r="M4" s="448"/>
      <c r="N4" s="433"/>
      <c r="O4" s="448"/>
      <c r="P4" s="448"/>
      <c r="Q4" s="448"/>
      <c r="R4" s="448"/>
      <c r="S4" s="448"/>
      <c r="T4" s="448"/>
      <c r="U4" s="456"/>
      <c r="V4" s="458"/>
      <c r="W4" s="461"/>
      <c r="X4" s="474"/>
      <c r="Y4" s="474"/>
      <c r="Z4" s="433"/>
      <c r="AA4" s="467"/>
      <c r="AB4" s="467"/>
      <c r="AC4" s="469"/>
      <c r="AD4" s="474"/>
      <c r="AE4" s="479"/>
      <c r="AF4" s="474"/>
      <c r="AG4" s="477"/>
      <c r="AH4" s="472"/>
      <c r="AI4" s="436"/>
      <c r="AJ4" s="442"/>
    </row>
    <row r="5" spans="1:36" ht="30" customHeight="1" thickBot="1">
      <c r="A5" s="434"/>
      <c r="B5" s="437"/>
      <c r="C5" s="440"/>
      <c r="D5" s="443"/>
      <c r="E5" s="454"/>
      <c r="F5" s="454"/>
      <c r="G5" s="454"/>
      <c r="H5" s="449"/>
      <c r="I5" s="454"/>
      <c r="J5" s="449"/>
      <c r="K5" s="449"/>
      <c r="L5" s="449"/>
      <c r="M5" s="449"/>
      <c r="N5" s="434"/>
      <c r="O5" s="449"/>
      <c r="P5" s="449"/>
      <c r="Q5" s="449"/>
      <c r="R5" s="449"/>
      <c r="S5" s="449"/>
      <c r="T5" s="449"/>
      <c r="U5" s="457"/>
      <c r="V5" s="459"/>
      <c r="W5" s="462"/>
      <c r="X5" s="475"/>
      <c r="Y5" s="475"/>
      <c r="Z5" s="434"/>
      <c r="AA5" s="468"/>
      <c r="AB5" s="468"/>
      <c r="AC5" s="470"/>
      <c r="AD5" s="475"/>
      <c r="AE5" s="480"/>
      <c r="AF5" s="475"/>
      <c r="AG5" s="478"/>
      <c r="AH5" s="473"/>
      <c r="AI5" s="437"/>
      <c r="AJ5" s="443"/>
    </row>
    <row r="6" spans="1:36" ht="11.25" customHeight="1" thickTop="1">
      <c r="A6" s="190" t="s">
        <v>1475</v>
      </c>
      <c r="B6" s="19"/>
      <c r="C6" s="250"/>
      <c r="D6" s="188"/>
      <c r="E6" s="173"/>
      <c r="F6" s="173"/>
      <c r="G6" s="173"/>
      <c r="H6" s="173"/>
      <c r="I6" s="174"/>
      <c r="J6" s="174"/>
      <c r="K6" s="174"/>
      <c r="L6" s="174"/>
      <c r="M6" s="174"/>
      <c r="N6" s="190" t="s">
        <v>1475</v>
      </c>
      <c r="O6" s="174"/>
      <c r="P6" s="174"/>
      <c r="Q6" s="174"/>
      <c r="R6" s="218"/>
      <c r="S6" s="218"/>
      <c r="T6" s="218"/>
      <c r="U6" s="207"/>
      <c r="V6" s="207"/>
      <c r="W6" s="212"/>
      <c r="X6" s="173"/>
      <c r="Y6" s="173"/>
      <c r="Z6" s="190" t="s">
        <v>1475</v>
      </c>
      <c r="AA6" s="224"/>
      <c r="AB6" s="224"/>
      <c r="AC6" s="188"/>
      <c r="AD6" s="207"/>
      <c r="AE6" s="188"/>
      <c r="AF6" s="207"/>
      <c r="AG6" s="19"/>
      <c r="AH6" s="256"/>
      <c r="AI6" s="19"/>
      <c r="AJ6" s="188"/>
    </row>
    <row r="7" spans="1:36" s="181" customFormat="1" ht="11.25" customHeight="1">
      <c r="A7" s="191" t="s">
        <v>953</v>
      </c>
      <c r="B7" s="19"/>
      <c r="C7" s="250"/>
      <c r="D7" s="188"/>
      <c r="E7" s="197"/>
      <c r="F7" s="197"/>
      <c r="G7" s="197"/>
      <c r="H7" s="197"/>
      <c r="I7" s="198"/>
      <c r="J7" s="197"/>
      <c r="K7" s="197"/>
      <c r="L7" s="197"/>
      <c r="M7" s="197"/>
      <c r="N7" s="191" t="s">
        <v>953</v>
      </c>
      <c r="O7" s="198"/>
      <c r="P7" s="198"/>
      <c r="Q7" s="198"/>
      <c r="R7" s="219"/>
      <c r="S7" s="219"/>
      <c r="T7" s="219"/>
      <c r="U7" s="207"/>
      <c r="V7" s="207"/>
      <c r="W7" s="212"/>
      <c r="X7" s="197"/>
      <c r="Y7" s="197"/>
      <c r="Z7" s="191" t="s">
        <v>953</v>
      </c>
      <c r="AA7" s="224"/>
      <c r="AB7" s="224"/>
      <c r="AC7" s="188"/>
      <c r="AD7" s="29"/>
      <c r="AE7" s="188"/>
      <c r="AF7" s="207"/>
      <c r="AG7" s="19"/>
      <c r="AH7" s="256"/>
      <c r="AI7" s="19"/>
      <c r="AJ7" s="188"/>
    </row>
    <row r="8" spans="1:36" s="181" customFormat="1" ht="11.25" customHeight="1">
      <c r="A8" s="191" t="s">
        <v>1520</v>
      </c>
      <c r="B8" s="19" t="s">
        <v>182</v>
      </c>
      <c r="C8" s="250">
        <v>1.47</v>
      </c>
      <c r="D8" s="188">
        <v>114600</v>
      </c>
      <c r="E8" s="195">
        <f>D8*C8</f>
        <v>168462</v>
      </c>
      <c r="F8" s="197"/>
      <c r="G8" s="20">
        <f>E8+F8</f>
        <v>168462</v>
      </c>
      <c r="H8" s="197"/>
      <c r="I8" s="200">
        <v>168500</v>
      </c>
      <c r="J8" s="197">
        <v>19600</v>
      </c>
      <c r="K8" s="197">
        <f>J8*100%</f>
        <v>19600</v>
      </c>
      <c r="L8" s="197">
        <f>J8*18%</f>
        <v>3528</v>
      </c>
      <c r="M8" s="197">
        <f>J8*0%</f>
        <v>0</v>
      </c>
      <c r="N8" s="191" t="s">
        <v>1520</v>
      </c>
      <c r="O8" s="197">
        <f>J8*0%</f>
        <v>0</v>
      </c>
      <c r="P8" s="197">
        <f>J8*0%</f>
        <v>0</v>
      </c>
      <c r="Q8" s="200">
        <f>J8*0%</f>
        <v>0</v>
      </c>
      <c r="R8" s="223">
        <f>J8*0%</f>
        <v>0</v>
      </c>
      <c r="S8" s="220"/>
      <c r="T8" s="220"/>
      <c r="U8" s="207"/>
      <c r="V8" s="207"/>
      <c r="W8" s="212"/>
      <c r="X8" s="197"/>
      <c r="Y8" s="197"/>
      <c r="Z8" s="191" t="s">
        <v>1520</v>
      </c>
      <c r="AA8" s="224">
        <f>164600+18900</f>
        <v>183500</v>
      </c>
      <c r="AB8" s="224">
        <f>18900+3402</f>
        <v>22302</v>
      </c>
      <c r="AC8" s="188">
        <v>183500</v>
      </c>
      <c r="AD8" s="29" t="s">
        <v>1485</v>
      </c>
      <c r="AE8" s="188"/>
      <c r="AF8" s="207" t="s">
        <v>888</v>
      </c>
      <c r="AG8" s="76">
        <v>39448</v>
      </c>
      <c r="AH8" s="256" t="s">
        <v>659</v>
      </c>
      <c r="AI8" s="76">
        <v>42192</v>
      </c>
      <c r="AJ8" s="188">
        <v>0</v>
      </c>
    </row>
    <row r="9" spans="1:36" s="181" customFormat="1" ht="11.25" customHeight="1">
      <c r="A9" s="191" t="s">
        <v>1518</v>
      </c>
      <c r="B9" s="19" t="s">
        <v>1011</v>
      </c>
      <c r="C9" s="250">
        <v>1.37</v>
      </c>
      <c r="D9" s="188">
        <v>114600</v>
      </c>
      <c r="E9" s="195">
        <f>D9*C9</f>
        <v>157002</v>
      </c>
      <c r="F9" s="197"/>
      <c r="G9" s="20">
        <f>E9+F9</f>
        <v>157002</v>
      </c>
      <c r="H9" s="197"/>
      <c r="I9" s="200">
        <v>157000</v>
      </c>
      <c r="J9" s="197">
        <v>19600</v>
      </c>
      <c r="K9" s="197">
        <f>J9*0%</f>
        <v>0</v>
      </c>
      <c r="L9" s="197">
        <f>J9*18%</f>
        <v>3528</v>
      </c>
      <c r="M9" s="197">
        <f>J9*0%</f>
        <v>0</v>
      </c>
      <c r="N9" s="191" t="s">
        <v>1518</v>
      </c>
      <c r="O9" s="197">
        <f>J9*0%</f>
        <v>0</v>
      </c>
      <c r="P9" s="197">
        <f>J9*0%</f>
        <v>0</v>
      </c>
      <c r="Q9" s="200">
        <f>J9*0%</f>
        <v>0</v>
      </c>
      <c r="R9" s="223">
        <f>J9*0%</f>
        <v>0</v>
      </c>
      <c r="S9" s="220"/>
      <c r="T9" s="220"/>
      <c r="U9" s="207"/>
      <c r="V9" s="207"/>
      <c r="W9" s="212"/>
      <c r="X9" s="197"/>
      <c r="Y9" s="197"/>
      <c r="Z9" s="191" t="s">
        <v>1518</v>
      </c>
      <c r="AA9" s="224">
        <v>174800</v>
      </c>
      <c r="AB9" s="224">
        <v>3402</v>
      </c>
      <c r="AC9" s="188">
        <v>147800</v>
      </c>
      <c r="AD9" s="207" t="s">
        <v>1519</v>
      </c>
      <c r="AE9" s="188">
        <v>4000</v>
      </c>
      <c r="AF9" s="207" t="s">
        <v>883</v>
      </c>
      <c r="AG9" s="76">
        <v>39814</v>
      </c>
      <c r="AH9" s="256" t="s">
        <v>240</v>
      </c>
      <c r="AI9" s="76">
        <v>39479</v>
      </c>
      <c r="AJ9" s="188"/>
    </row>
    <row r="10" spans="1:36" s="181" customFormat="1" ht="11.25" customHeight="1">
      <c r="A10" s="191" t="s">
        <v>241</v>
      </c>
      <c r="B10" s="19" t="s">
        <v>181</v>
      </c>
      <c r="C10" s="250">
        <v>1.2625</v>
      </c>
      <c r="D10" s="188">
        <v>66300</v>
      </c>
      <c r="E10" s="195">
        <f>D10*C10</f>
        <v>83703.75</v>
      </c>
      <c r="F10" s="197"/>
      <c r="G10" s="20">
        <f>E10+F10</f>
        <v>83703.75</v>
      </c>
      <c r="H10" s="197"/>
      <c r="I10" s="200">
        <v>83700</v>
      </c>
      <c r="J10" s="197">
        <v>19600</v>
      </c>
      <c r="K10" s="197">
        <f>J10*0%</f>
        <v>0</v>
      </c>
      <c r="L10" s="197">
        <f>J10*0%</f>
        <v>0</v>
      </c>
      <c r="M10" s="197">
        <f>J10*0%</f>
        <v>0</v>
      </c>
      <c r="N10" s="191" t="s">
        <v>241</v>
      </c>
      <c r="O10" s="197">
        <f>J10*0%</f>
        <v>0</v>
      </c>
      <c r="P10" s="197">
        <f>J10*0%</f>
        <v>0</v>
      </c>
      <c r="Q10" s="200">
        <f>J10*0%</f>
        <v>0</v>
      </c>
      <c r="R10" s="223">
        <f>J10*0%</f>
        <v>0</v>
      </c>
      <c r="S10" s="220"/>
      <c r="T10" s="220"/>
      <c r="U10" s="207"/>
      <c r="V10" s="207"/>
      <c r="W10" s="212"/>
      <c r="X10" s="197"/>
      <c r="Y10" s="197"/>
      <c r="Z10" s="191" t="s">
        <v>241</v>
      </c>
      <c r="AA10" s="224">
        <v>80500</v>
      </c>
      <c r="AB10" s="224">
        <v>2000</v>
      </c>
      <c r="AC10" s="188">
        <v>80500</v>
      </c>
      <c r="AD10" s="207" t="s">
        <v>1485</v>
      </c>
      <c r="AE10" s="188"/>
      <c r="AF10" s="207" t="s">
        <v>880</v>
      </c>
      <c r="AG10" s="76">
        <v>39448</v>
      </c>
      <c r="AH10" s="256" t="s">
        <v>240</v>
      </c>
      <c r="AI10" s="76">
        <v>39996</v>
      </c>
      <c r="AJ10" s="188"/>
    </row>
    <row r="11" spans="1:36" s="181" customFormat="1" ht="11.25" customHeight="1">
      <c r="A11" s="175"/>
      <c r="B11" s="19"/>
      <c r="C11" s="250"/>
      <c r="D11" s="188"/>
      <c r="E11" s="197"/>
      <c r="F11" s="197"/>
      <c r="G11" s="197"/>
      <c r="H11" s="197"/>
      <c r="I11" s="198"/>
      <c r="J11" s="197"/>
      <c r="K11" s="197"/>
      <c r="L11" s="197"/>
      <c r="M11" s="197">
        <f>J11*0%</f>
        <v>0</v>
      </c>
      <c r="N11" s="175"/>
      <c r="O11" s="198"/>
      <c r="P11" s="198"/>
      <c r="Q11" s="198"/>
      <c r="R11" s="219"/>
      <c r="S11" s="219"/>
      <c r="T11" s="219"/>
      <c r="U11" s="207"/>
      <c r="V11" s="207"/>
      <c r="W11" s="212"/>
      <c r="X11" s="197"/>
      <c r="Y11" s="197"/>
      <c r="Z11" s="175"/>
      <c r="AA11" s="224"/>
      <c r="AB11" s="224"/>
      <c r="AC11" s="188"/>
      <c r="AD11" s="207"/>
      <c r="AE11" s="188"/>
      <c r="AF11" s="207"/>
      <c r="AG11" s="19"/>
      <c r="AH11" s="256"/>
      <c r="AI11" s="19"/>
      <c r="AJ11" s="188"/>
    </row>
    <row r="12" spans="1:36" s="189" customFormat="1" ht="11.25" customHeight="1">
      <c r="A12" s="192" t="s">
        <v>955</v>
      </c>
      <c r="B12" s="25"/>
      <c r="C12" s="252"/>
      <c r="D12" s="194"/>
      <c r="E12" s="196">
        <f>SUM(E8:E11)</f>
        <v>409167.75</v>
      </c>
      <c r="F12" s="196">
        <f>SUM(F8:F11)</f>
        <v>0</v>
      </c>
      <c r="G12" s="196">
        <f>SUM(G8:G11)</f>
        <v>409167.75</v>
      </c>
      <c r="H12" s="196">
        <f>SUM(H8:H11)</f>
        <v>0</v>
      </c>
      <c r="I12" s="201">
        <f>SUM(I8:I11)</f>
        <v>409200</v>
      </c>
      <c r="J12" s="199"/>
      <c r="K12" s="199">
        <f>SUM(K8:K11)</f>
        <v>19600</v>
      </c>
      <c r="L12" s="199">
        <f>SUM(L8:L11)</f>
        <v>7056</v>
      </c>
      <c r="M12" s="199">
        <f>SUM(M8:M11)</f>
        <v>0</v>
      </c>
      <c r="N12" s="192" t="s">
        <v>955</v>
      </c>
      <c r="O12" s="201">
        <f>SUM(O8:O11)</f>
        <v>0</v>
      </c>
      <c r="P12" s="201">
        <f>SUM(P8:P11)</f>
        <v>0</v>
      </c>
      <c r="Q12" s="201">
        <f>SUM(Q8:Q11)</f>
        <v>0</v>
      </c>
      <c r="R12" s="210">
        <f>SUM(R8:R11)</f>
        <v>0</v>
      </c>
      <c r="S12" s="210">
        <f>SUM(S8:S11)</f>
        <v>0</v>
      </c>
      <c r="T12" s="210"/>
      <c r="U12" s="208"/>
      <c r="V12" s="208"/>
      <c r="W12" s="213"/>
      <c r="X12" s="199"/>
      <c r="Y12" s="199"/>
      <c r="Z12" s="192" t="s">
        <v>955</v>
      </c>
      <c r="AA12" s="225">
        <f>SUM(AA8:AA11)</f>
        <v>438800</v>
      </c>
      <c r="AB12" s="225">
        <f>SUM(AB8:AB11)</f>
        <v>27704</v>
      </c>
      <c r="AC12" s="194">
        <f>SUM(AC8:AC11)</f>
        <v>411800</v>
      </c>
      <c r="AD12" s="208"/>
      <c r="AE12" s="194">
        <f>SUM(AE8:AE11)</f>
        <v>4000</v>
      </c>
      <c r="AF12" s="208"/>
      <c r="AG12" s="25"/>
      <c r="AH12" s="257"/>
      <c r="AI12" s="25"/>
      <c r="AJ12" s="194">
        <f>SUM(AJ8:AJ11)</f>
        <v>0</v>
      </c>
    </row>
    <row r="13" spans="1:36" s="181" customFormat="1" ht="11.25" customHeight="1">
      <c r="A13" s="191"/>
      <c r="B13" s="19"/>
      <c r="C13" s="250"/>
      <c r="D13" s="188"/>
      <c r="E13" s="197"/>
      <c r="F13" s="197"/>
      <c r="G13" s="197"/>
      <c r="H13" s="197"/>
      <c r="I13" s="198"/>
      <c r="J13" s="197"/>
      <c r="K13" s="197"/>
      <c r="L13" s="197"/>
      <c r="M13" s="197"/>
      <c r="N13" s="191"/>
      <c r="O13" s="198"/>
      <c r="P13" s="198"/>
      <c r="Q13" s="198"/>
      <c r="R13" s="219"/>
      <c r="S13" s="219"/>
      <c r="T13" s="219"/>
      <c r="U13" s="207"/>
      <c r="V13" s="207"/>
      <c r="W13" s="212"/>
      <c r="X13" s="197"/>
      <c r="Y13" s="197"/>
      <c r="Z13" s="191"/>
      <c r="AA13" s="224"/>
      <c r="AB13" s="224"/>
      <c r="AC13" s="188"/>
      <c r="AD13" s="207"/>
      <c r="AE13" s="188"/>
      <c r="AF13" s="207"/>
      <c r="AG13" s="19"/>
      <c r="AH13" s="256"/>
      <c r="AI13" s="19"/>
      <c r="AJ13" s="188"/>
    </row>
    <row r="14" spans="1:36" s="181" customFormat="1" ht="11.25" customHeight="1">
      <c r="A14" s="191" t="s">
        <v>901</v>
      </c>
      <c r="B14" s="19" t="s">
        <v>865</v>
      </c>
      <c r="C14" s="250">
        <v>1.27</v>
      </c>
      <c r="D14" s="188">
        <v>114600</v>
      </c>
      <c r="E14" s="195">
        <f>D14*C14</f>
        <v>145542</v>
      </c>
      <c r="F14" s="197"/>
      <c r="G14" s="20">
        <f>E14+F14</f>
        <v>145542</v>
      </c>
      <c r="H14" s="197">
        <v>9100</v>
      </c>
      <c r="I14" s="200">
        <v>154600</v>
      </c>
      <c r="J14" s="197">
        <v>19600</v>
      </c>
      <c r="K14" s="197">
        <f>J14*0%</f>
        <v>0</v>
      </c>
      <c r="L14" s="197">
        <f>J14*18%</f>
        <v>3528</v>
      </c>
      <c r="M14" s="197">
        <f>J14*0%</f>
        <v>0</v>
      </c>
      <c r="N14" s="191" t="s">
        <v>901</v>
      </c>
      <c r="O14" s="197">
        <f>J14*0%</f>
        <v>0</v>
      </c>
      <c r="P14" s="197">
        <f>J14*0%</f>
        <v>0</v>
      </c>
      <c r="Q14" s="200">
        <f>J14*0%</f>
        <v>0</v>
      </c>
      <c r="R14" s="223">
        <f>J14*0%</f>
        <v>0</v>
      </c>
      <c r="S14" s="220">
        <f>J14*0%</f>
        <v>0</v>
      </c>
      <c r="T14" s="220"/>
      <c r="U14" s="207"/>
      <c r="V14" s="207"/>
      <c r="W14" s="212"/>
      <c r="X14" s="197"/>
      <c r="Y14" s="197"/>
      <c r="Z14" s="191" t="s">
        <v>901</v>
      </c>
      <c r="AA14" s="224">
        <f>142200+9100</f>
        <v>151300</v>
      </c>
      <c r="AB14" s="224">
        <v>3402</v>
      </c>
      <c r="AC14" s="188">
        <v>151300</v>
      </c>
      <c r="AD14" s="207" t="s">
        <v>1519</v>
      </c>
      <c r="AE14" s="188"/>
      <c r="AF14" s="207" t="s">
        <v>873</v>
      </c>
      <c r="AG14" s="76">
        <v>39448</v>
      </c>
      <c r="AH14" s="256" t="s">
        <v>240</v>
      </c>
      <c r="AI14" s="76">
        <v>40766</v>
      </c>
      <c r="AJ14" s="188">
        <v>0</v>
      </c>
    </row>
    <row r="15" spans="1:36" s="181" customFormat="1" ht="11.25" customHeight="1">
      <c r="A15" s="191" t="s">
        <v>902</v>
      </c>
      <c r="B15" s="19" t="s">
        <v>866</v>
      </c>
      <c r="C15" s="250">
        <v>1.57</v>
      </c>
      <c r="D15" s="188">
        <v>114600</v>
      </c>
      <c r="E15" s="195">
        <f>D15*C15</f>
        <v>179922</v>
      </c>
      <c r="F15" s="197"/>
      <c r="G15" s="20">
        <f>E15+F15</f>
        <v>179922</v>
      </c>
      <c r="H15" s="197">
        <v>9100</v>
      </c>
      <c r="I15" s="200">
        <v>189000</v>
      </c>
      <c r="J15" s="197">
        <v>19600</v>
      </c>
      <c r="K15" s="197">
        <f>J15*100%</f>
        <v>19600</v>
      </c>
      <c r="L15" s="197">
        <f>J15*18%</f>
        <v>3528</v>
      </c>
      <c r="M15" s="197">
        <f>J15*0%</f>
        <v>0</v>
      </c>
      <c r="N15" s="191" t="s">
        <v>902</v>
      </c>
      <c r="O15" s="197">
        <f>J15*0%</f>
        <v>0</v>
      </c>
      <c r="P15" s="197">
        <f>J15*0%</f>
        <v>0</v>
      </c>
      <c r="Q15" s="200">
        <f>J15*0%</f>
        <v>0</v>
      </c>
      <c r="R15" s="223">
        <f>J15*0%</f>
        <v>0</v>
      </c>
      <c r="S15" s="220">
        <f>J15*0%</f>
        <v>0</v>
      </c>
      <c r="T15" s="220"/>
      <c r="U15" s="207"/>
      <c r="V15" s="207"/>
      <c r="W15" s="212"/>
      <c r="X15" s="197"/>
      <c r="Y15" s="197"/>
      <c r="Z15" s="191" t="s">
        <v>902</v>
      </c>
      <c r="AA15" s="224">
        <f>175800+9100+18900</f>
        <v>203800</v>
      </c>
      <c r="AB15" s="224">
        <f>18900+3402</f>
        <v>22302</v>
      </c>
      <c r="AC15" s="188">
        <v>184900</v>
      </c>
      <c r="AD15" s="207" t="s">
        <v>1519</v>
      </c>
      <c r="AE15" s="188"/>
      <c r="AF15" s="207" t="s">
        <v>884</v>
      </c>
      <c r="AG15" s="76">
        <v>39448</v>
      </c>
      <c r="AH15" s="256" t="s">
        <v>659</v>
      </c>
      <c r="AI15" s="260">
        <v>39234</v>
      </c>
      <c r="AJ15" s="188">
        <v>899500</v>
      </c>
    </row>
    <row r="16" spans="1:36" s="181" customFormat="1" ht="11.25" customHeight="1">
      <c r="A16" s="191" t="s">
        <v>903</v>
      </c>
      <c r="B16" s="19" t="s">
        <v>865</v>
      </c>
      <c r="C16" s="250">
        <v>1.27</v>
      </c>
      <c r="D16" s="188">
        <v>114600</v>
      </c>
      <c r="E16" s="195">
        <f>D16*C16</f>
        <v>145542</v>
      </c>
      <c r="F16" s="197"/>
      <c r="G16" s="20">
        <f>E16+F16</f>
        <v>145542</v>
      </c>
      <c r="H16" s="197">
        <v>9100</v>
      </c>
      <c r="I16" s="200">
        <v>154600</v>
      </c>
      <c r="J16" s="197">
        <v>19600</v>
      </c>
      <c r="K16" s="197">
        <f>J16*0%</f>
        <v>0</v>
      </c>
      <c r="L16" s="197">
        <f>J16*18%</f>
        <v>3528</v>
      </c>
      <c r="M16" s="197">
        <f>J16*0%</f>
        <v>0</v>
      </c>
      <c r="N16" s="191" t="s">
        <v>903</v>
      </c>
      <c r="O16" s="197">
        <f>J16*0%</f>
        <v>0</v>
      </c>
      <c r="P16" s="197">
        <f>J16*0%</f>
        <v>0</v>
      </c>
      <c r="Q16" s="200">
        <f>J16*0%</f>
        <v>0</v>
      </c>
      <c r="R16" s="223">
        <f>J16*0%</f>
        <v>0</v>
      </c>
      <c r="S16" s="220">
        <f>J16*0%</f>
        <v>0</v>
      </c>
      <c r="T16" s="220"/>
      <c r="U16" s="207"/>
      <c r="V16" s="207"/>
      <c r="W16" s="212"/>
      <c r="X16" s="197"/>
      <c r="Y16" s="197"/>
      <c r="Z16" s="191" t="s">
        <v>903</v>
      </c>
      <c r="AA16" s="224">
        <f>142200+9100</f>
        <v>151300</v>
      </c>
      <c r="AB16" s="224">
        <f>3402</f>
        <v>3402</v>
      </c>
      <c r="AC16" s="188">
        <v>151300</v>
      </c>
      <c r="AD16" s="207" t="s">
        <v>1519</v>
      </c>
      <c r="AE16" s="188"/>
      <c r="AF16" s="207" t="s">
        <v>885</v>
      </c>
      <c r="AG16" s="76">
        <v>39448</v>
      </c>
      <c r="AH16" s="256" t="s">
        <v>240</v>
      </c>
      <c r="AI16" s="76">
        <v>40918</v>
      </c>
      <c r="AJ16" s="188"/>
    </row>
    <row r="17" spans="1:36" s="181" customFormat="1" ht="11.25" customHeight="1">
      <c r="A17" s="191" t="s">
        <v>904</v>
      </c>
      <c r="B17" s="19" t="s">
        <v>895</v>
      </c>
      <c r="C17" s="250">
        <v>1.4125</v>
      </c>
      <c r="D17" s="188">
        <v>66300</v>
      </c>
      <c r="E17" s="195">
        <f>D17*C17</f>
        <v>93648.75</v>
      </c>
      <c r="F17" s="197"/>
      <c r="G17" s="20">
        <f>E17+F17</f>
        <v>93648.75</v>
      </c>
      <c r="H17" s="197"/>
      <c r="I17" s="200">
        <v>93600</v>
      </c>
      <c r="J17" s="197">
        <v>19600</v>
      </c>
      <c r="K17" s="197">
        <f>J17*0%</f>
        <v>0</v>
      </c>
      <c r="L17" s="197">
        <f>J17*0%</f>
        <v>0</v>
      </c>
      <c r="M17" s="197">
        <f>J17*0%</f>
        <v>0</v>
      </c>
      <c r="N17" s="191" t="s">
        <v>904</v>
      </c>
      <c r="O17" s="197">
        <f>J17*0%</f>
        <v>0</v>
      </c>
      <c r="P17" s="197">
        <f>J17*0%</f>
        <v>0</v>
      </c>
      <c r="Q17" s="200">
        <f>J17*0%</f>
        <v>0</v>
      </c>
      <c r="R17" s="223">
        <f>J17*0%</f>
        <v>0</v>
      </c>
      <c r="S17" s="220">
        <f>J17*0%</f>
        <v>0</v>
      </c>
      <c r="T17" s="220"/>
      <c r="U17" s="207"/>
      <c r="V17" s="207"/>
      <c r="W17" s="212"/>
      <c r="X17" s="197"/>
      <c r="Y17" s="197"/>
      <c r="Z17" s="191" t="s">
        <v>904</v>
      </c>
      <c r="AA17" s="224">
        <v>88100</v>
      </c>
      <c r="AB17" s="224"/>
      <c r="AC17" s="188">
        <v>88100</v>
      </c>
      <c r="AD17" s="207" t="s">
        <v>1519</v>
      </c>
      <c r="AE17" s="188"/>
      <c r="AF17" s="207" t="s">
        <v>890</v>
      </c>
      <c r="AG17" s="76">
        <v>39814</v>
      </c>
      <c r="AH17" s="256" t="s">
        <v>659</v>
      </c>
      <c r="AI17" s="76">
        <v>41896</v>
      </c>
      <c r="AJ17" s="188"/>
    </row>
    <row r="18" spans="1:36" s="181" customFormat="1" ht="11.25" customHeight="1">
      <c r="A18" s="191" t="s">
        <v>907</v>
      </c>
      <c r="B18" s="19" t="s">
        <v>867</v>
      </c>
      <c r="C18" s="250">
        <v>1.3</v>
      </c>
      <c r="D18" s="188">
        <v>66300</v>
      </c>
      <c r="E18" s="195">
        <f>D18*C18</f>
        <v>86190</v>
      </c>
      <c r="F18" s="197"/>
      <c r="G18" s="20">
        <f>E18+F18</f>
        <v>86190</v>
      </c>
      <c r="H18" s="197"/>
      <c r="I18" s="200">
        <v>86200</v>
      </c>
      <c r="J18" s="197">
        <v>19600</v>
      </c>
      <c r="K18" s="197">
        <f>J18*0%</f>
        <v>0</v>
      </c>
      <c r="L18" s="197">
        <f>J18*0%</f>
        <v>0</v>
      </c>
      <c r="M18" s="197">
        <f>J18*0%</f>
        <v>0</v>
      </c>
      <c r="N18" s="191" t="s">
        <v>907</v>
      </c>
      <c r="O18" s="197">
        <f>J18*0%</f>
        <v>0</v>
      </c>
      <c r="P18" s="197">
        <f>J18*0%</f>
        <v>0</v>
      </c>
      <c r="Q18" s="200">
        <f>J18*0%</f>
        <v>0</v>
      </c>
      <c r="R18" s="223">
        <f>J18*0%</f>
        <v>0</v>
      </c>
      <c r="S18" s="220">
        <f>J18*0%</f>
        <v>0</v>
      </c>
      <c r="T18" s="220"/>
      <c r="U18" s="207"/>
      <c r="V18" s="207"/>
      <c r="W18" s="212"/>
      <c r="X18" s="197"/>
      <c r="Y18" s="197"/>
      <c r="Z18" s="191" t="s">
        <v>907</v>
      </c>
      <c r="AA18" s="224">
        <v>83000</v>
      </c>
      <c r="AB18" s="224"/>
      <c r="AC18" s="188">
        <v>83100</v>
      </c>
      <c r="AD18" s="207" t="s">
        <v>1519</v>
      </c>
      <c r="AE18" s="188"/>
      <c r="AF18" s="207" t="s">
        <v>891</v>
      </c>
      <c r="AG18" s="76">
        <v>39448</v>
      </c>
      <c r="AH18" s="256" t="s">
        <v>650</v>
      </c>
      <c r="AI18" s="76">
        <v>40566</v>
      </c>
      <c r="AJ18" s="188"/>
    </row>
    <row r="19" spans="1:36" s="181" customFormat="1" ht="11.25" customHeight="1">
      <c r="A19" s="191" t="s">
        <v>896</v>
      </c>
      <c r="B19" s="19"/>
      <c r="C19" s="250"/>
      <c r="D19" s="188"/>
      <c r="E19" s="197"/>
      <c r="F19" s="197"/>
      <c r="G19" s="197"/>
      <c r="H19" s="197"/>
      <c r="I19" s="198"/>
      <c r="J19" s="197"/>
      <c r="K19" s="197"/>
      <c r="L19" s="197"/>
      <c r="M19" s="197"/>
      <c r="N19" s="191"/>
      <c r="O19" s="198"/>
      <c r="P19" s="198"/>
      <c r="Q19" s="198"/>
      <c r="R19" s="219"/>
      <c r="S19" s="219"/>
      <c r="T19" s="219"/>
      <c r="U19" s="207"/>
      <c r="V19" s="207"/>
      <c r="W19" s="212"/>
      <c r="X19" s="197"/>
      <c r="Y19" s="197"/>
      <c r="Z19" s="191" t="s">
        <v>896</v>
      </c>
      <c r="AA19" s="224"/>
      <c r="AB19" s="224"/>
      <c r="AC19" s="188">
        <v>71300</v>
      </c>
      <c r="AD19" s="207"/>
      <c r="AE19" s="188"/>
      <c r="AF19" s="207"/>
      <c r="AG19" s="19"/>
      <c r="AH19" s="256"/>
      <c r="AI19" s="19"/>
      <c r="AJ19" s="188"/>
    </row>
    <row r="20" spans="1:36" s="189" customFormat="1" ht="11.25" customHeight="1">
      <c r="A20" s="192" t="s">
        <v>868</v>
      </c>
      <c r="B20" s="25"/>
      <c r="C20" s="252"/>
      <c r="D20" s="194"/>
      <c r="E20" s="196">
        <f>SUM(E14:E19)</f>
        <v>650844.75</v>
      </c>
      <c r="F20" s="196">
        <f>SUM(F14:F19)</f>
        <v>0</v>
      </c>
      <c r="G20" s="196">
        <f>SUM(G14:G19)</f>
        <v>650844.75</v>
      </c>
      <c r="H20" s="196">
        <f>SUM(H14:H19)</f>
        <v>27300</v>
      </c>
      <c r="I20" s="196">
        <f>SUM(I14:I19)</f>
        <v>678000</v>
      </c>
      <c r="J20" s="199"/>
      <c r="K20" s="199">
        <f>SUM(K14:K19)</f>
        <v>19600</v>
      </c>
      <c r="L20" s="199">
        <f>SUM(L14:L19)</f>
        <v>10584</v>
      </c>
      <c r="M20" s="199">
        <f>SUM(M14:M19)</f>
        <v>0</v>
      </c>
      <c r="N20" s="192" t="s">
        <v>868</v>
      </c>
      <c r="O20" s="201">
        <f>SUM(O14:O19)</f>
        <v>0</v>
      </c>
      <c r="P20" s="201">
        <f>SUM(P14:P19)</f>
        <v>0</v>
      </c>
      <c r="Q20" s="201">
        <f>SUM(Q14:Q19)</f>
        <v>0</v>
      </c>
      <c r="R20" s="210">
        <f>SUM(R14:R19)</f>
        <v>0</v>
      </c>
      <c r="S20" s="210">
        <f>SUM(S14:S19)</f>
        <v>0</v>
      </c>
      <c r="T20" s="210"/>
      <c r="U20" s="208"/>
      <c r="V20" s="208"/>
      <c r="W20" s="213"/>
      <c r="X20" s="199"/>
      <c r="Y20" s="199"/>
      <c r="Z20" s="192" t="s">
        <v>868</v>
      </c>
      <c r="AA20" s="225">
        <f>SUM(AA14:AA19)</f>
        <v>677500</v>
      </c>
      <c r="AB20" s="225">
        <f>SUM(AB14:AB19)</f>
        <v>29106</v>
      </c>
      <c r="AC20" s="194">
        <f>SUM(AC14:AC19)</f>
        <v>730000</v>
      </c>
      <c r="AD20" s="208"/>
      <c r="AE20" s="194"/>
      <c r="AF20" s="208"/>
      <c r="AG20" s="25"/>
      <c r="AH20" s="257"/>
      <c r="AI20" s="25"/>
      <c r="AJ20" s="194">
        <f>SUM(AJ14:AJ19)</f>
        <v>899500</v>
      </c>
    </row>
    <row r="21" spans="1:36" s="205" customFormat="1" ht="11.25" customHeight="1">
      <c r="A21" s="193" t="s">
        <v>1014</v>
      </c>
      <c r="B21" s="161"/>
      <c r="C21" s="253"/>
      <c r="D21" s="202"/>
      <c r="E21" s="203">
        <f>E12+E20</f>
        <v>1060012.5</v>
      </c>
      <c r="F21" s="203">
        <f aca="true" t="shared" si="0" ref="F21:K21">F12+F20</f>
        <v>0</v>
      </c>
      <c r="G21" s="203"/>
      <c r="H21" s="203">
        <f t="shared" si="0"/>
        <v>27300</v>
      </c>
      <c r="I21" s="203">
        <f t="shared" si="0"/>
        <v>1087200</v>
      </c>
      <c r="J21" s="204"/>
      <c r="K21" s="203">
        <f t="shared" si="0"/>
        <v>39200</v>
      </c>
      <c r="L21" s="203">
        <f>L12+L20</f>
        <v>17640</v>
      </c>
      <c r="M21" s="203">
        <f>M12+M20</f>
        <v>0</v>
      </c>
      <c r="N21" s="193" t="s">
        <v>1014</v>
      </c>
      <c r="O21" s="203">
        <f>O12+O20</f>
        <v>0</v>
      </c>
      <c r="P21" s="203">
        <f>P12+P20</f>
        <v>0</v>
      </c>
      <c r="Q21" s="203">
        <f>Q12+Q20</f>
        <v>0</v>
      </c>
      <c r="R21" s="211">
        <f>R12+R20</f>
        <v>0</v>
      </c>
      <c r="S21" s="211">
        <f>S12+S20</f>
        <v>0</v>
      </c>
      <c r="T21" s="211"/>
      <c r="U21" s="209"/>
      <c r="V21" s="209"/>
      <c r="W21" s="214"/>
      <c r="X21" s="203"/>
      <c r="Y21" s="203"/>
      <c r="Z21" s="193" t="s">
        <v>1014</v>
      </c>
      <c r="AA21" s="203">
        <f>AA12+AA20</f>
        <v>1116300</v>
      </c>
      <c r="AB21" s="203">
        <f>AB12+AB20</f>
        <v>56810</v>
      </c>
      <c r="AC21" s="203">
        <f>AC12+AC20</f>
        <v>1141800</v>
      </c>
      <c r="AD21" s="209"/>
      <c r="AE21" s="202"/>
      <c r="AF21" s="209"/>
      <c r="AG21" s="161"/>
      <c r="AH21" s="258"/>
      <c r="AI21" s="161"/>
      <c r="AJ21" s="203">
        <f>AJ12+AJ20</f>
        <v>899500</v>
      </c>
    </row>
    <row r="22" spans="1:36" ht="11.25" customHeight="1">
      <c r="A22" s="190" t="s">
        <v>1681</v>
      </c>
      <c r="B22" s="19"/>
      <c r="C22" s="250"/>
      <c r="D22" s="188"/>
      <c r="E22" s="173"/>
      <c r="F22" s="173"/>
      <c r="G22" s="173"/>
      <c r="H22" s="173"/>
      <c r="I22" s="174"/>
      <c r="J22" s="174"/>
      <c r="K22" s="174"/>
      <c r="L22" s="174"/>
      <c r="M22" s="174"/>
      <c r="N22" s="190" t="s">
        <v>1681</v>
      </c>
      <c r="O22" s="174"/>
      <c r="P22" s="174"/>
      <c r="Q22" s="174"/>
      <c r="R22" s="218"/>
      <c r="S22" s="218"/>
      <c r="T22" s="218"/>
      <c r="U22" s="207"/>
      <c r="V22" s="207"/>
      <c r="W22" s="212"/>
      <c r="X22" s="173"/>
      <c r="Y22" s="173"/>
      <c r="Z22" s="190" t="s">
        <v>1681</v>
      </c>
      <c r="AA22" s="224"/>
      <c r="AB22" s="224"/>
      <c r="AC22" s="188"/>
      <c r="AD22" s="207"/>
      <c r="AE22" s="188"/>
      <c r="AF22" s="207"/>
      <c r="AG22" s="19"/>
      <c r="AH22" s="256"/>
      <c r="AI22" s="19"/>
      <c r="AJ22" s="188"/>
    </row>
    <row r="23" spans="1:36" ht="11.25">
      <c r="A23" s="29" t="s">
        <v>649</v>
      </c>
      <c r="B23" s="19" t="s">
        <v>652</v>
      </c>
      <c r="C23" s="236">
        <v>1.47</v>
      </c>
      <c r="D23" s="188">
        <v>114600</v>
      </c>
      <c r="E23" s="195">
        <f aca="true" t="shared" si="1" ref="E23:E30">D23*C23</f>
        <v>168462</v>
      </c>
      <c r="F23" s="20">
        <f>E23*5%</f>
        <v>8423.1</v>
      </c>
      <c r="G23" s="20">
        <f aca="true" t="shared" si="2" ref="G23:G44">E23+F23</f>
        <v>176885.1</v>
      </c>
      <c r="H23" s="20"/>
      <c r="I23" s="200">
        <v>176900</v>
      </c>
      <c r="J23" s="197">
        <v>19600</v>
      </c>
      <c r="K23" s="197">
        <f>J23*100%</f>
        <v>19600</v>
      </c>
      <c r="L23" s="197">
        <f aca="true" t="shared" si="3" ref="L23:L30">J23*18%</f>
        <v>3528</v>
      </c>
      <c r="M23" s="20">
        <f>J23*30%</f>
        <v>5880</v>
      </c>
      <c r="N23" s="29" t="s">
        <v>649</v>
      </c>
      <c r="O23" s="197">
        <f>J23*0%</f>
        <v>0</v>
      </c>
      <c r="P23" s="197">
        <f>J23*0%</f>
        <v>0</v>
      </c>
      <c r="Q23" s="200">
        <f aca="true" t="shared" si="4" ref="Q23:Q30">J23*0%</f>
        <v>0</v>
      </c>
      <c r="R23" s="223">
        <f aca="true" t="shared" si="5" ref="R23:R29">J23*0%</f>
        <v>0</v>
      </c>
      <c r="S23" s="188"/>
      <c r="T23" s="188"/>
      <c r="U23" s="20">
        <v>20</v>
      </c>
      <c r="V23" s="20">
        <v>8</v>
      </c>
      <c r="W23" s="215">
        <f aca="true" t="shared" si="6" ref="W23:W44">U23*4.33</f>
        <v>86.6</v>
      </c>
      <c r="X23" s="20">
        <f>I23+L23</f>
        <v>180428</v>
      </c>
      <c r="Y23" s="20">
        <f>X23/W23</f>
        <v>2083.4642032332563</v>
      </c>
      <c r="Z23" s="29" t="s">
        <v>649</v>
      </c>
      <c r="AA23" s="21">
        <f>172900</f>
        <v>172900</v>
      </c>
      <c r="AB23" s="21">
        <f>5670+18900+3402</f>
        <v>27972</v>
      </c>
      <c r="AC23" s="20">
        <v>172900</v>
      </c>
      <c r="AD23" s="29" t="s">
        <v>1485</v>
      </c>
      <c r="AE23" s="20">
        <v>0</v>
      </c>
      <c r="AF23" s="29" t="s">
        <v>870</v>
      </c>
      <c r="AG23" s="76">
        <v>39448</v>
      </c>
      <c r="AH23" s="256" t="s">
        <v>659</v>
      </c>
      <c r="AI23" s="76">
        <v>42614</v>
      </c>
      <c r="AJ23" s="20"/>
    </row>
    <row r="24" spans="1:36" ht="11.25">
      <c r="A24" s="29" t="s">
        <v>651</v>
      </c>
      <c r="B24" s="19" t="s">
        <v>1073</v>
      </c>
      <c r="C24" s="236">
        <v>1.52</v>
      </c>
      <c r="D24" s="188">
        <v>114600</v>
      </c>
      <c r="E24" s="195">
        <f t="shared" si="1"/>
        <v>174192</v>
      </c>
      <c r="F24" s="20"/>
      <c r="G24" s="20">
        <f t="shared" si="2"/>
        <v>174192</v>
      </c>
      <c r="H24" s="20"/>
      <c r="I24" s="200">
        <v>174200</v>
      </c>
      <c r="J24" s="197">
        <v>19600</v>
      </c>
      <c r="K24" s="197">
        <f aca="true" t="shared" si="7" ref="K24:K30">J24*0%</f>
        <v>0</v>
      </c>
      <c r="L24" s="197">
        <f t="shared" si="3"/>
        <v>3528</v>
      </c>
      <c r="M24" s="20">
        <f>J24*30%</f>
        <v>5880</v>
      </c>
      <c r="N24" s="29" t="s">
        <v>651</v>
      </c>
      <c r="O24" s="197">
        <f>J24*12%</f>
        <v>2352</v>
      </c>
      <c r="P24" s="197">
        <f aca="true" t="shared" si="8" ref="P24:P30">J24*0%</f>
        <v>0</v>
      </c>
      <c r="Q24" s="200">
        <f t="shared" si="4"/>
        <v>0</v>
      </c>
      <c r="R24" s="223">
        <f t="shared" si="5"/>
        <v>0</v>
      </c>
      <c r="S24" s="188"/>
      <c r="T24" s="188"/>
      <c r="U24" s="20">
        <v>21</v>
      </c>
      <c r="V24" s="20">
        <v>2</v>
      </c>
      <c r="W24" s="215">
        <f t="shared" si="6"/>
        <v>90.93</v>
      </c>
      <c r="X24" s="20">
        <f aca="true" t="shared" si="9" ref="X24:X30">I24+L24</f>
        <v>177728</v>
      </c>
      <c r="Y24" s="20">
        <f>X24/W24</f>
        <v>1954.558451556142</v>
      </c>
      <c r="Z24" s="29" t="s">
        <v>651</v>
      </c>
      <c r="AA24" s="21">
        <f>164600</f>
        <v>164600</v>
      </c>
      <c r="AB24" s="21">
        <f>5670+2268+3402</f>
        <v>11340</v>
      </c>
      <c r="AC24" s="20">
        <v>164600</v>
      </c>
      <c r="AD24" s="29" t="s">
        <v>1485</v>
      </c>
      <c r="AE24" s="20"/>
      <c r="AF24" s="29" t="s">
        <v>874</v>
      </c>
      <c r="AG24" s="76">
        <v>40179</v>
      </c>
      <c r="AH24" s="256" t="s">
        <v>659</v>
      </c>
      <c r="AI24" s="19" t="s">
        <v>875</v>
      </c>
      <c r="AJ24" s="20"/>
    </row>
    <row r="25" spans="1:36" ht="11.25">
      <c r="A25" s="29" t="s">
        <v>653</v>
      </c>
      <c r="B25" s="19" t="s">
        <v>1527</v>
      </c>
      <c r="C25" s="236">
        <v>1.1875</v>
      </c>
      <c r="D25" s="20">
        <v>70800</v>
      </c>
      <c r="E25" s="195">
        <f t="shared" si="1"/>
        <v>84075</v>
      </c>
      <c r="F25" s="20"/>
      <c r="G25" s="20">
        <f t="shared" si="2"/>
        <v>84075</v>
      </c>
      <c r="H25" s="20"/>
      <c r="I25" s="200">
        <v>84100</v>
      </c>
      <c r="J25" s="197">
        <v>19600</v>
      </c>
      <c r="K25" s="197">
        <f t="shared" si="7"/>
        <v>0</v>
      </c>
      <c r="L25" s="197">
        <f>J25*0%</f>
        <v>0</v>
      </c>
      <c r="M25" s="20">
        <f>J25*0%</f>
        <v>0</v>
      </c>
      <c r="N25" s="29" t="s">
        <v>653</v>
      </c>
      <c r="O25" s="197">
        <f aca="true" t="shared" si="10" ref="O25:O30">J25*0%</f>
        <v>0</v>
      </c>
      <c r="P25" s="197">
        <f t="shared" si="8"/>
        <v>0</v>
      </c>
      <c r="Q25" s="200">
        <f>J25*25%</f>
        <v>4900</v>
      </c>
      <c r="R25" s="223">
        <f t="shared" si="5"/>
        <v>0</v>
      </c>
      <c r="S25" s="188"/>
      <c r="T25" s="188"/>
      <c r="U25" s="20">
        <v>0</v>
      </c>
      <c r="V25" s="20"/>
      <c r="W25" s="215">
        <f t="shared" si="6"/>
        <v>0</v>
      </c>
      <c r="X25" s="20">
        <f t="shared" si="9"/>
        <v>84100</v>
      </c>
      <c r="Y25" s="20"/>
      <c r="Z25" s="29" t="s">
        <v>653</v>
      </c>
      <c r="AA25" s="21">
        <f>80900</f>
        <v>80900</v>
      </c>
      <c r="AB25" s="21">
        <f>4725</f>
        <v>4725</v>
      </c>
      <c r="AC25" s="20">
        <v>80900</v>
      </c>
      <c r="AD25" s="29" t="s">
        <v>1485</v>
      </c>
      <c r="AE25" s="20"/>
      <c r="AF25" s="29" t="s">
        <v>876</v>
      </c>
      <c r="AG25" s="76">
        <v>39448</v>
      </c>
      <c r="AH25" s="256" t="s">
        <v>240</v>
      </c>
      <c r="AI25" s="76">
        <v>42245</v>
      </c>
      <c r="AJ25" s="20"/>
    </row>
    <row r="26" spans="1:36" ht="11.25">
      <c r="A26" s="29" t="s">
        <v>655</v>
      </c>
      <c r="B26" s="19" t="s">
        <v>893</v>
      </c>
      <c r="C26" s="236">
        <v>1.47</v>
      </c>
      <c r="D26" s="188">
        <v>114600</v>
      </c>
      <c r="E26" s="195">
        <f t="shared" si="1"/>
        <v>168462</v>
      </c>
      <c r="F26" s="20"/>
      <c r="G26" s="20">
        <f t="shared" si="2"/>
        <v>168462</v>
      </c>
      <c r="H26" s="20"/>
      <c r="I26" s="200">
        <v>168500</v>
      </c>
      <c r="J26" s="197">
        <v>19600</v>
      </c>
      <c r="K26" s="197">
        <f t="shared" si="7"/>
        <v>0</v>
      </c>
      <c r="L26" s="197">
        <f t="shared" si="3"/>
        <v>3528</v>
      </c>
      <c r="M26" s="20">
        <f>J26*30%</f>
        <v>5880</v>
      </c>
      <c r="N26" s="29" t="s">
        <v>655</v>
      </c>
      <c r="O26" s="197">
        <f t="shared" si="10"/>
        <v>0</v>
      </c>
      <c r="P26" s="197">
        <f t="shared" si="8"/>
        <v>0</v>
      </c>
      <c r="Q26" s="200">
        <f t="shared" si="4"/>
        <v>0</v>
      </c>
      <c r="R26" s="223">
        <f t="shared" si="5"/>
        <v>0</v>
      </c>
      <c r="S26" s="188"/>
      <c r="T26" s="188"/>
      <c r="U26" s="20">
        <v>21</v>
      </c>
      <c r="V26" s="20">
        <v>1</v>
      </c>
      <c r="W26" s="215">
        <f t="shared" si="6"/>
        <v>90.93</v>
      </c>
      <c r="X26" s="20">
        <f t="shared" si="9"/>
        <v>172028</v>
      </c>
      <c r="Y26" s="20">
        <f>X26/W26</f>
        <v>1891.8728692400746</v>
      </c>
      <c r="Z26" s="29" t="s">
        <v>655</v>
      </c>
      <c r="AA26" s="21">
        <f>159000</f>
        <v>159000</v>
      </c>
      <c r="AB26" s="21">
        <f>5670+3402</f>
        <v>9072</v>
      </c>
      <c r="AC26" s="20">
        <v>159000</v>
      </c>
      <c r="AD26" s="29" t="s">
        <v>1485</v>
      </c>
      <c r="AE26" s="20"/>
      <c r="AF26" s="29" t="s">
        <v>1511</v>
      </c>
      <c r="AG26" s="76">
        <v>39814</v>
      </c>
      <c r="AH26" s="256" t="s">
        <v>650</v>
      </c>
      <c r="AI26" s="76">
        <v>39741</v>
      </c>
      <c r="AJ26" s="20"/>
    </row>
    <row r="27" spans="1:36" ht="11.25">
      <c r="A27" s="29" t="s">
        <v>657</v>
      </c>
      <c r="B27" s="19" t="s">
        <v>893</v>
      </c>
      <c r="C27" s="236">
        <v>1.47</v>
      </c>
      <c r="D27" s="188">
        <v>114600</v>
      </c>
      <c r="E27" s="195">
        <f t="shared" si="1"/>
        <v>168462</v>
      </c>
      <c r="F27" s="20"/>
      <c r="G27" s="20">
        <f t="shared" si="2"/>
        <v>168462</v>
      </c>
      <c r="H27" s="20"/>
      <c r="I27" s="200">
        <v>168500</v>
      </c>
      <c r="J27" s="197">
        <v>19600</v>
      </c>
      <c r="K27" s="197">
        <f t="shared" si="7"/>
        <v>0</v>
      </c>
      <c r="L27" s="197">
        <f t="shared" si="3"/>
        <v>3528</v>
      </c>
      <c r="M27" s="20">
        <f>J27*30%</f>
        <v>5880</v>
      </c>
      <c r="N27" s="29" t="s">
        <v>657</v>
      </c>
      <c r="O27" s="197">
        <f t="shared" si="10"/>
        <v>0</v>
      </c>
      <c r="P27" s="197">
        <f t="shared" si="8"/>
        <v>0</v>
      </c>
      <c r="Q27" s="200">
        <f t="shared" si="4"/>
        <v>0</v>
      </c>
      <c r="R27" s="223">
        <f t="shared" si="5"/>
        <v>0</v>
      </c>
      <c r="S27" s="188"/>
      <c r="T27" s="188"/>
      <c r="U27" s="20">
        <v>21</v>
      </c>
      <c r="V27" s="20">
        <v>1</v>
      </c>
      <c r="W27" s="215">
        <f t="shared" si="6"/>
        <v>90.93</v>
      </c>
      <c r="X27" s="20">
        <f t="shared" si="9"/>
        <v>172028</v>
      </c>
      <c r="Y27" s="20">
        <f>X27/W27</f>
        <v>1891.8728692400746</v>
      </c>
      <c r="Z27" s="29" t="s">
        <v>657</v>
      </c>
      <c r="AA27" s="21">
        <f>159000</f>
        <v>159000</v>
      </c>
      <c r="AB27" s="21">
        <f>5670+3402</f>
        <v>9072</v>
      </c>
      <c r="AC27" s="20">
        <v>159000</v>
      </c>
      <c r="AD27" s="29" t="s">
        <v>1485</v>
      </c>
      <c r="AE27" s="20"/>
      <c r="AF27" s="29" t="s">
        <v>877</v>
      </c>
      <c r="AG27" s="76">
        <v>39814</v>
      </c>
      <c r="AH27" s="256" t="s">
        <v>650</v>
      </c>
      <c r="AI27" s="260">
        <v>39306</v>
      </c>
      <c r="AJ27" s="20">
        <v>505500</v>
      </c>
    </row>
    <row r="28" spans="1:36" ht="11.25">
      <c r="A28" s="29" t="s">
        <v>658</v>
      </c>
      <c r="B28" s="19" t="s">
        <v>664</v>
      </c>
      <c r="C28" s="236">
        <v>1.52</v>
      </c>
      <c r="D28" s="188">
        <v>114600</v>
      </c>
      <c r="E28" s="195">
        <f t="shared" si="1"/>
        <v>174192</v>
      </c>
      <c r="F28" s="20"/>
      <c r="G28" s="20">
        <f t="shared" si="2"/>
        <v>174192</v>
      </c>
      <c r="H28" s="20"/>
      <c r="I28" s="200">
        <v>174200</v>
      </c>
      <c r="J28" s="197">
        <v>19600</v>
      </c>
      <c r="K28" s="197">
        <f t="shared" si="7"/>
        <v>0</v>
      </c>
      <c r="L28" s="197">
        <f t="shared" si="3"/>
        <v>3528</v>
      </c>
      <c r="M28" s="20">
        <f>J28*0%</f>
        <v>0</v>
      </c>
      <c r="N28" s="29" t="s">
        <v>658</v>
      </c>
      <c r="O28" s="197">
        <f t="shared" si="10"/>
        <v>0</v>
      </c>
      <c r="P28" s="197">
        <f t="shared" si="8"/>
        <v>0</v>
      </c>
      <c r="Q28" s="200">
        <f t="shared" si="4"/>
        <v>0</v>
      </c>
      <c r="R28" s="223">
        <f t="shared" si="5"/>
        <v>0</v>
      </c>
      <c r="S28" s="188"/>
      <c r="T28" s="188"/>
      <c r="U28" s="20">
        <v>23</v>
      </c>
      <c r="V28" s="20">
        <v>0</v>
      </c>
      <c r="W28" s="215">
        <f t="shared" si="6"/>
        <v>99.59</v>
      </c>
      <c r="X28" s="20">
        <f t="shared" si="9"/>
        <v>177728</v>
      </c>
      <c r="Y28" s="20">
        <f>X28/W28</f>
        <v>1784.5968470729993</v>
      </c>
      <c r="Z28" s="29" t="s">
        <v>658</v>
      </c>
      <c r="AA28" s="21">
        <f>170200</f>
        <v>170200</v>
      </c>
      <c r="AB28" s="21">
        <f>3402</f>
        <v>3402</v>
      </c>
      <c r="AC28" s="20">
        <v>170200</v>
      </c>
      <c r="AD28" s="29" t="s">
        <v>1485</v>
      </c>
      <c r="AE28" s="20"/>
      <c r="AF28" s="29" t="s">
        <v>878</v>
      </c>
      <c r="AG28" s="76">
        <v>39448</v>
      </c>
      <c r="AH28" s="256" t="s">
        <v>659</v>
      </c>
      <c r="AI28" s="76">
        <v>41550</v>
      </c>
      <c r="AJ28" s="20"/>
    </row>
    <row r="29" spans="1:36" ht="11.25">
      <c r="A29" s="29" t="s">
        <v>662</v>
      </c>
      <c r="B29" s="19" t="s">
        <v>1074</v>
      </c>
      <c r="C29" s="236">
        <v>1.12</v>
      </c>
      <c r="D29" s="188">
        <v>114600</v>
      </c>
      <c r="E29" s="195">
        <f t="shared" si="1"/>
        <v>128352.00000000001</v>
      </c>
      <c r="F29" s="20">
        <f>E29*5%</f>
        <v>6417.600000000001</v>
      </c>
      <c r="G29" s="20">
        <f t="shared" si="2"/>
        <v>134769.6</v>
      </c>
      <c r="H29" s="20"/>
      <c r="I29" s="200">
        <v>134800</v>
      </c>
      <c r="J29" s="197">
        <v>19600</v>
      </c>
      <c r="K29" s="197">
        <f t="shared" si="7"/>
        <v>0</v>
      </c>
      <c r="L29" s="197">
        <f t="shared" si="3"/>
        <v>3528</v>
      </c>
      <c r="M29" s="20">
        <f>J29*0%</f>
        <v>0</v>
      </c>
      <c r="N29" s="29" t="s">
        <v>662</v>
      </c>
      <c r="O29" s="197">
        <f t="shared" si="10"/>
        <v>0</v>
      </c>
      <c r="P29" s="197">
        <f t="shared" si="8"/>
        <v>0</v>
      </c>
      <c r="Q29" s="200">
        <f t="shared" si="4"/>
        <v>0</v>
      </c>
      <c r="R29" s="223">
        <f t="shared" si="5"/>
        <v>0</v>
      </c>
      <c r="S29" s="188"/>
      <c r="T29" s="188"/>
      <c r="U29" s="20">
        <v>20</v>
      </c>
      <c r="V29" s="20"/>
      <c r="W29" s="215">
        <f t="shared" si="6"/>
        <v>86.6</v>
      </c>
      <c r="X29" s="20">
        <f t="shared" si="9"/>
        <v>138328</v>
      </c>
      <c r="Y29" s="20"/>
      <c r="Z29" s="29" t="s">
        <v>662</v>
      </c>
      <c r="AA29" s="21"/>
      <c r="AB29" s="21"/>
      <c r="AC29" s="20">
        <v>109200</v>
      </c>
      <c r="AD29" s="29" t="s">
        <v>660</v>
      </c>
      <c r="AE29" s="20"/>
      <c r="AF29" s="29" t="s">
        <v>887</v>
      </c>
      <c r="AG29" s="76">
        <v>40179</v>
      </c>
      <c r="AH29" s="256" t="s">
        <v>240</v>
      </c>
      <c r="AI29" s="76">
        <v>45176</v>
      </c>
      <c r="AJ29" s="20"/>
    </row>
    <row r="30" spans="1:36" ht="11.25">
      <c r="A30" s="29" t="s">
        <v>663</v>
      </c>
      <c r="B30" s="19" t="s">
        <v>894</v>
      </c>
      <c r="C30" s="236">
        <v>1.57</v>
      </c>
      <c r="D30" s="188">
        <v>114600</v>
      </c>
      <c r="E30" s="195">
        <f t="shared" si="1"/>
        <v>179922</v>
      </c>
      <c r="F30" s="20"/>
      <c r="G30" s="20">
        <f t="shared" si="2"/>
        <v>179922</v>
      </c>
      <c r="H30" s="20"/>
      <c r="I30" s="200">
        <v>179900</v>
      </c>
      <c r="J30" s="197">
        <v>19600</v>
      </c>
      <c r="K30" s="197">
        <f t="shared" si="7"/>
        <v>0</v>
      </c>
      <c r="L30" s="197">
        <f t="shared" si="3"/>
        <v>3528</v>
      </c>
      <c r="M30" s="20">
        <f>J30*30%</f>
        <v>5880</v>
      </c>
      <c r="N30" s="29" t="s">
        <v>663</v>
      </c>
      <c r="O30" s="197">
        <f t="shared" si="10"/>
        <v>0</v>
      </c>
      <c r="P30" s="197">
        <f t="shared" si="8"/>
        <v>0</v>
      </c>
      <c r="Q30" s="200">
        <f t="shared" si="4"/>
        <v>0</v>
      </c>
      <c r="R30" s="223">
        <f>J30*12%</f>
        <v>2352</v>
      </c>
      <c r="S30" s="188"/>
      <c r="T30" s="188"/>
      <c r="U30" s="20">
        <v>21</v>
      </c>
      <c r="V30" s="20">
        <v>2</v>
      </c>
      <c r="W30" s="215">
        <f t="shared" si="6"/>
        <v>90.93</v>
      </c>
      <c r="X30" s="20">
        <f t="shared" si="9"/>
        <v>183428</v>
      </c>
      <c r="Y30" s="20">
        <f>X30/W30</f>
        <v>2017.2440338722092</v>
      </c>
      <c r="Z30" s="29" t="s">
        <v>663</v>
      </c>
      <c r="AA30" s="21">
        <f>170200</f>
        <v>170200</v>
      </c>
      <c r="AB30" s="21">
        <f>5670+2268+3402</f>
        <v>11340</v>
      </c>
      <c r="AC30" s="20">
        <v>170200</v>
      </c>
      <c r="AD30" s="29" t="s">
        <v>1485</v>
      </c>
      <c r="AE30" s="20"/>
      <c r="AF30" s="29" t="s">
        <v>889</v>
      </c>
      <c r="AG30" s="76">
        <v>39814</v>
      </c>
      <c r="AH30" s="256" t="s">
        <v>659</v>
      </c>
      <c r="AI30" s="76">
        <v>40778</v>
      </c>
      <c r="AJ30" s="20"/>
    </row>
    <row r="31" spans="1:36" ht="11.25">
      <c r="A31" s="29"/>
      <c r="B31" s="19"/>
      <c r="C31" s="236"/>
      <c r="D31" s="188"/>
      <c r="E31" s="195"/>
      <c r="F31" s="20"/>
      <c r="G31" s="20"/>
      <c r="H31" s="20"/>
      <c r="I31" s="200"/>
      <c r="J31" s="197"/>
      <c r="K31" s="197"/>
      <c r="L31" s="197"/>
      <c r="M31" s="20"/>
      <c r="N31" s="29"/>
      <c r="O31" s="197"/>
      <c r="P31" s="197"/>
      <c r="Q31" s="200"/>
      <c r="R31" s="223"/>
      <c r="S31" s="188"/>
      <c r="T31" s="188"/>
      <c r="U31" s="20"/>
      <c r="V31" s="20"/>
      <c r="W31" s="215"/>
      <c r="X31" s="20"/>
      <c r="Y31" s="20"/>
      <c r="Z31" s="29"/>
      <c r="AA31" s="21"/>
      <c r="AB31" s="21"/>
      <c r="AC31" s="20"/>
      <c r="AD31" s="29"/>
      <c r="AE31" s="20"/>
      <c r="AF31" s="29"/>
      <c r="AG31" s="76"/>
      <c r="AH31" s="256"/>
      <c r="AI31" s="76"/>
      <c r="AJ31" s="20"/>
    </row>
    <row r="32" spans="1:36" s="183" customFormat="1" ht="11.25">
      <c r="A32" s="192" t="s">
        <v>955</v>
      </c>
      <c r="B32" s="25"/>
      <c r="C32" s="237"/>
      <c r="D32" s="26"/>
      <c r="E32" s="26"/>
      <c r="F32" s="255">
        <f>SUM(F23:F31)</f>
        <v>14840.7</v>
      </c>
      <c r="G32" s="255">
        <f>SUM(G23:G31)</f>
        <v>1260959.7</v>
      </c>
      <c r="H32" s="255">
        <f aca="true" t="shared" si="11" ref="H32:O32">SUM(H23:H31)</f>
        <v>0</v>
      </c>
      <c r="I32" s="255">
        <f t="shared" si="11"/>
        <v>1261100</v>
      </c>
      <c r="J32" s="255"/>
      <c r="K32" s="255">
        <f t="shared" si="11"/>
        <v>19600</v>
      </c>
      <c r="L32" s="255">
        <f t="shared" si="11"/>
        <v>24696</v>
      </c>
      <c r="M32" s="255">
        <f t="shared" si="11"/>
        <v>29400</v>
      </c>
      <c r="N32" s="192" t="s">
        <v>955</v>
      </c>
      <c r="O32" s="255">
        <f t="shared" si="11"/>
        <v>2352</v>
      </c>
      <c r="P32" s="255">
        <f>SUM(P23:P31)</f>
        <v>0</v>
      </c>
      <c r="Q32" s="255">
        <f>SUM(Q23:Q31)</f>
        <v>4900</v>
      </c>
      <c r="R32" s="255">
        <f>SUM(R23:R31)</f>
        <v>2352</v>
      </c>
      <c r="S32" s="255">
        <f>SUM(S23:S31)</f>
        <v>0</v>
      </c>
      <c r="T32" s="255">
        <f>SUM(T23:T31)</f>
        <v>0</v>
      </c>
      <c r="U32" s="26"/>
      <c r="V32" s="26"/>
      <c r="W32" s="216">
        <f t="shared" si="6"/>
        <v>0</v>
      </c>
      <c r="X32" s="26"/>
      <c r="Y32" s="26"/>
      <c r="Z32" s="192" t="s">
        <v>955</v>
      </c>
      <c r="AA32" s="31">
        <f>SUM(AA23:AA30)</f>
        <v>1076800</v>
      </c>
      <c r="AB32" s="31">
        <f>SUM(AB23:AB30)</f>
        <v>76923</v>
      </c>
      <c r="AC32" s="26">
        <f>SUM(AC23:AC30)</f>
        <v>1186000</v>
      </c>
      <c r="AD32" s="30"/>
      <c r="AE32" s="26">
        <f>SUM(AE23:AE30)</f>
        <v>0</v>
      </c>
      <c r="AF32" s="30"/>
      <c r="AG32" s="35"/>
      <c r="AH32" s="257"/>
      <c r="AI32" s="25"/>
      <c r="AJ32" s="26">
        <f>SUM(AJ23:AJ31)</f>
        <v>505500</v>
      </c>
    </row>
    <row r="33" spans="1:36" ht="11.25">
      <c r="A33" s="192"/>
      <c r="B33" s="19"/>
      <c r="C33" s="23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92"/>
      <c r="O33" s="20"/>
      <c r="P33" s="20"/>
      <c r="Q33" s="20"/>
      <c r="R33" s="188"/>
      <c r="S33" s="188"/>
      <c r="T33" s="188"/>
      <c r="U33" s="20"/>
      <c r="V33" s="20"/>
      <c r="W33" s="215"/>
      <c r="X33" s="20"/>
      <c r="Y33" s="20"/>
      <c r="Z33" s="192"/>
      <c r="AA33" s="21"/>
      <c r="AB33" s="21"/>
      <c r="AC33" s="20"/>
      <c r="AD33" s="29"/>
      <c r="AE33" s="20"/>
      <c r="AF33" s="29"/>
      <c r="AG33" s="34"/>
      <c r="AH33" s="256"/>
      <c r="AI33" s="19"/>
      <c r="AJ33" s="20"/>
    </row>
    <row r="34" spans="1:36" ht="11.25">
      <c r="A34" s="191" t="s">
        <v>1680</v>
      </c>
      <c r="B34" s="19" t="s">
        <v>1516</v>
      </c>
      <c r="C34" s="236">
        <v>1.08</v>
      </c>
      <c r="D34" s="188">
        <v>114600</v>
      </c>
      <c r="E34" s="195">
        <f aca="true" t="shared" si="12" ref="E34:E44">D34*C34</f>
        <v>123768.00000000001</v>
      </c>
      <c r="F34" s="20">
        <f>E34*5%</f>
        <v>6188.4000000000015</v>
      </c>
      <c r="G34" s="20">
        <f t="shared" si="2"/>
        <v>129956.40000000002</v>
      </c>
      <c r="H34" s="20"/>
      <c r="I34" s="200">
        <v>130000</v>
      </c>
      <c r="J34" s="197">
        <v>19600</v>
      </c>
      <c r="K34" s="197">
        <f aca="true" t="shared" si="13" ref="K34:K44">J34*0%</f>
        <v>0</v>
      </c>
      <c r="L34" s="197">
        <f aca="true" t="shared" si="14" ref="L34:L44">J34*18%</f>
        <v>3528</v>
      </c>
      <c r="M34" s="20">
        <f>J34*0%</f>
        <v>0</v>
      </c>
      <c r="N34" s="191" t="s">
        <v>1680</v>
      </c>
      <c r="O34" s="197">
        <f>J34*0%</f>
        <v>0</v>
      </c>
      <c r="P34" s="197">
        <f>J34*0%</f>
        <v>0</v>
      </c>
      <c r="Q34" s="200">
        <f aca="true" t="shared" si="15" ref="Q34:Q44">J34*0%</f>
        <v>0</v>
      </c>
      <c r="R34" s="223">
        <f aca="true" t="shared" si="16" ref="R34:R43">J34*0%</f>
        <v>0</v>
      </c>
      <c r="S34" s="188"/>
      <c r="T34" s="188"/>
      <c r="U34" s="20">
        <v>20</v>
      </c>
      <c r="V34" s="20"/>
      <c r="W34" s="215">
        <f t="shared" si="6"/>
        <v>86.6</v>
      </c>
      <c r="X34" s="20">
        <f aca="true" t="shared" si="17" ref="X34:X44">I34+L34</f>
        <v>133528</v>
      </c>
      <c r="Y34" s="20"/>
      <c r="Z34" s="191" t="s">
        <v>1680</v>
      </c>
      <c r="AA34" s="21">
        <v>127000</v>
      </c>
      <c r="AB34" s="21">
        <f>5670+3402</f>
        <v>9072</v>
      </c>
      <c r="AC34" s="20">
        <v>127000</v>
      </c>
      <c r="AD34" s="29" t="s">
        <v>660</v>
      </c>
      <c r="AE34" s="20">
        <v>7500</v>
      </c>
      <c r="AF34" s="29" t="s">
        <v>869</v>
      </c>
      <c r="AG34" s="76">
        <v>39448</v>
      </c>
      <c r="AH34" s="256" t="s">
        <v>240</v>
      </c>
      <c r="AI34" s="76">
        <v>46615</v>
      </c>
      <c r="AJ34" s="20"/>
    </row>
    <row r="35" spans="1:36" ht="11.25">
      <c r="A35" s="191" t="s">
        <v>1670</v>
      </c>
      <c r="B35" s="19" t="s">
        <v>73</v>
      </c>
      <c r="C35" s="236">
        <v>1.42</v>
      </c>
      <c r="D35" s="188">
        <v>114600</v>
      </c>
      <c r="E35" s="195">
        <f t="shared" si="12"/>
        <v>162732</v>
      </c>
      <c r="F35" s="20">
        <f>E35*5%</f>
        <v>8136.6</v>
      </c>
      <c r="G35" s="20">
        <f t="shared" si="2"/>
        <v>170868.6</v>
      </c>
      <c r="H35" s="20"/>
      <c r="I35" s="200">
        <v>170900</v>
      </c>
      <c r="J35" s="197">
        <v>19600</v>
      </c>
      <c r="K35" s="197">
        <f t="shared" si="13"/>
        <v>0</v>
      </c>
      <c r="L35" s="197">
        <f t="shared" si="14"/>
        <v>3528</v>
      </c>
      <c r="M35" s="20">
        <f>J35*30%</f>
        <v>5880</v>
      </c>
      <c r="N35" s="191" t="s">
        <v>1670</v>
      </c>
      <c r="O35" s="197">
        <f aca="true" t="shared" si="18" ref="O35:O44">J35*0%</f>
        <v>0</v>
      </c>
      <c r="P35" s="197">
        <f aca="true" t="shared" si="19" ref="P35:P44">J35*0%</f>
        <v>0</v>
      </c>
      <c r="Q35" s="200">
        <f t="shared" si="15"/>
        <v>0</v>
      </c>
      <c r="R35" s="223">
        <f t="shared" si="16"/>
        <v>0</v>
      </c>
      <c r="S35" s="188">
        <v>1400</v>
      </c>
      <c r="T35" s="188"/>
      <c r="U35" s="20">
        <v>20</v>
      </c>
      <c r="V35" s="20">
        <v>1</v>
      </c>
      <c r="W35" s="215">
        <f t="shared" si="6"/>
        <v>86.6</v>
      </c>
      <c r="X35" s="20">
        <f t="shared" si="17"/>
        <v>174428</v>
      </c>
      <c r="Y35" s="20"/>
      <c r="Z35" s="191" t="s">
        <v>1670</v>
      </c>
      <c r="AA35" s="21">
        <v>161100</v>
      </c>
      <c r="AB35" s="21">
        <f>5670+3402+1400</f>
        <v>10472</v>
      </c>
      <c r="AC35" s="20">
        <v>161100</v>
      </c>
      <c r="AD35" s="207" t="s">
        <v>1519</v>
      </c>
      <c r="AE35" s="20"/>
      <c r="AF35" s="29" t="s">
        <v>871</v>
      </c>
      <c r="AG35" s="76">
        <v>40179</v>
      </c>
      <c r="AH35" s="256" t="s">
        <v>240</v>
      </c>
      <c r="AI35" s="260">
        <v>39033</v>
      </c>
      <c r="AJ35" s="20"/>
    </row>
    <row r="36" spans="1:36" ht="11.25">
      <c r="A36" s="191" t="s">
        <v>1671</v>
      </c>
      <c r="B36" s="19" t="s">
        <v>866</v>
      </c>
      <c r="C36" s="236">
        <v>1.57</v>
      </c>
      <c r="D36" s="188">
        <v>114600</v>
      </c>
      <c r="E36" s="195">
        <f t="shared" si="12"/>
        <v>179922</v>
      </c>
      <c r="F36" s="20"/>
      <c r="G36" s="20">
        <f t="shared" si="2"/>
        <v>179922</v>
      </c>
      <c r="H36" s="20"/>
      <c r="I36" s="200">
        <v>179900</v>
      </c>
      <c r="J36" s="197">
        <v>19600</v>
      </c>
      <c r="K36" s="197">
        <f>J36*100%</f>
        <v>19600</v>
      </c>
      <c r="L36" s="197">
        <f t="shared" si="14"/>
        <v>3528</v>
      </c>
      <c r="M36" s="20">
        <f>J36*30%</f>
        <v>5880</v>
      </c>
      <c r="N36" s="191" t="s">
        <v>1671</v>
      </c>
      <c r="O36" s="197">
        <f t="shared" si="18"/>
        <v>0</v>
      </c>
      <c r="P36" s="197">
        <f t="shared" si="19"/>
        <v>0</v>
      </c>
      <c r="Q36" s="200">
        <f t="shared" si="15"/>
        <v>0</v>
      </c>
      <c r="R36" s="223">
        <f t="shared" si="16"/>
        <v>0</v>
      </c>
      <c r="S36" s="188"/>
      <c r="T36" s="188"/>
      <c r="U36" s="20">
        <v>21</v>
      </c>
      <c r="V36" s="20">
        <v>7</v>
      </c>
      <c r="W36" s="215">
        <f t="shared" si="6"/>
        <v>90.93</v>
      </c>
      <c r="X36" s="20">
        <f t="shared" si="17"/>
        <v>183428</v>
      </c>
      <c r="Y36" s="20"/>
      <c r="Z36" s="191" t="s">
        <v>1671</v>
      </c>
      <c r="AA36" s="21">
        <f>170200</f>
        <v>170200</v>
      </c>
      <c r="AB36" s="21">
        <f>18900+5670+3402</f>
        <v>27972</v>
      </c>
      <c r="AC36" s="20">
        <v>170200</v>
      </c>
      <c r="AD36" s="207" t="s">
        <v>1519</v>
      </c>
      <c r="AE36" s="20"/>
      <c r="AF36" s="29" t="s">
        <v>872</v>
      </c>
      <c r="AG36" s="76">
        <v>40179</v>
      </c>
      <c r="AH36" s="256" t="s">
        <v>659</v>
      </c>
      <c r="AI36" s="76">
        <v>40787</v>
      </c>
      <c r="AJ36" s="20"/>
    </row>
    <row r="37" spans="1:36" ht="11.25">
      <c r="A37" s="191" t="s">
        <v>1672</v>
      </c>
      <c r="B37" s="19" t="s">
        <v>1516</v>
      </c>
      <c r="C37" s="236">
        <v>1.08</v>
      </c>
      <c r="D37" s="188">
        <v>114600</v>
      </c>
      <c r="E37" s="195">
        <f t="shared" si="12"/>
        <v>123768.00000000001</v>
      </c>
      <c r="F37" s="20"/>
      <c r="G37" s="20">
        <f t="shared" si="2"/>
        <v>123768.00000000001</v>
      </c>
      <c r="H37" s="20"/>
      <c r="I37" s="200">
        <v>123800</v>
      </c>
      <c r="J37" s="197">
        <v>19600</v>
      </c>
      <c r="K37" s="197">
        <f t="shared" si="13"/>
        <v>0</v>
      </c>
      <c r="L37" s="197">
        <f t="shared" si="14"/>
        <v>3528</v>
      </c>
      <c r="M37" s="20">
        <f>J37*30%</f>
        <v>5880</v>
      </c>
      <c r="N37" s="191" t="s">
        <v>1672</v>
      </c>
      <c r="O37" s="197">
        <f t="shared" si="18"/>
        <v>0</v>
      </c>
      <c r="P37" s="197">
        <f t="shared" si="19"/>
        <v>0</v>
      </c>
      <c r="Q37" s="200">
        <f t="shared" si="15"/>
        <v>0</v>
      </c>
      <c r="R37" s="223">
        <f t="shared" si="16"/>
        <v>0</v>
      </c>
      <c r="S37" s="188"/>
      <c r="T37" s="188"/>
      <c r="U37" s="20">
        <v>20</v>
      </c>
      <c r="V37" s="20">
        <v>1</v>
      </c>
      <c r="W37" s="215">
        <f t="shared" si="6"/>
        <v>86.6</v>
      </c>
      <c r="X37" s="20">
        <f t="shared" si="17"/>
        <v>127328</v>
      </c>
      <c r="Y37" s="20"/>
      <c r="Z37" s="191" t="s">
        <v>1672</v>
      </c>
      <c r="AA37" s="21">
        <v>116500</v>
      </c>
      <c r="AB37" s="21">
        <f>5670+3402</f>
        <v>9072</v>
      </c>
      <c r="AC37" s="20">
        <v>116500</v>
      </c>
      <c r="AD37" s="29" t="s">
        <v>660</v>
      </c>
      <c r="AE37" s="20"/>
      <c r="AF37" s="29"/>
      <c r="AG37" s="76">
        <v>40179</v>
      </c>
      <c r="AH37" s="256" t="s">
        <v>240</v>
      </c>
      <c r="AI37" s="76">
        <v>46257</v>
      </c>
      <c r="AJ37" s="20"/>
    </row>
    <row r="38" spans="1:36" ht="11.25">
      <c r="A38" s="191" t="s">
        <v>1673</v>
      </c>
      <c r="B38" s="19" t="s">
        <v>866</v>
      </c>
      <c r="C38" s="236">
        <v>1.57</v>
      </c>
      <c r="D38" s="188">
        <v>114600</v>
      </c>
      <c r="E38" s="195">
        <f t="shared" si="12"/>
        <v>179922</v>
      </c>
      <c r="F38" s="20">
        <f>E38*5%</f>
        <v>8996.1</v>
      </c>
      <c r="G38" s="20">
        <f t="shared" si="2"/>
        <v>188918.1</v>
      </c>
      <c r="H38" s="20"/>
      <c r="I38" s="200">
        <v>188900</v>
      </c>
      <c r="J38" s="197">
        <v>19600</v>
      </c>
      <c r="K38" s="197">
        <f t="shared" si="13"/>
        <v>0</v>
      </c>
      <c r="L38" s="197">
        <f t="shared" si="14"/>
        <v>3528</v>
      </c>
      <c r="M38" s="20">
        <f>J38*30%</f>
        <v>5880</v>
      </c>
      <c r="N38" s="191" t="s">
        <v>1673</v>
      </c>
      <c r="O38" s="197">
        <f>J38*12%</f>
        <v>2352</v>
      </c>
      <c r="P38" s="197">
        <f t="shared" si="19"/>
        <v>0</v>
      </c>
      <c r="Q38" s="200">
        <f t="shared" si="15"/>
        <v>0</v>
      </c>
      <c r="R38" s="223">
        <f>J38*12%</f>
        <v>2352</v>
      </c>
      <c r="S38" s="188"/>
      <c r="T38" s="188"/>
      <c r="U38" s="20">
        <v>20</v>
      </c>
      <c r="V38" s="20">
        <v>1</v>
      </c>
      <c r="W38" s="215">
        <f t="shared" si="6"/>
        <v>86.6</v>
      </c>
      <c r="X38" s="20">
        <f t="shared" si="17"/>
        <v>192428</v>
      </c>
      <c r="Y38" s="20"/>
      <c r="Z38" s="191" t="s">
        <v>1673</v>
      </c>
      <c r="AA38" s="21">
        <f>184600</f>
        <v>184600</v>
      </c>
      <c r="AB38" s="21">
        <f>5670+2268+3402+2268</f>
        <v>13608</v>
      </c>
      <c r="AC38" s="20">
        <v>184600</v>
      </c>
      <c r="AD38" s="207" t="s">
        <v>1519</v>
      </c>
      <c r="AE38" s="20"/>
      <c r="AF38" s="29" t="s">
        <v>879</v>
      </c>
      <c r="AG38" s="76">
        <v>39448</v>
      </c>
      <c r="AH38" s="256" t="s">
        <v>659</v>
      </c>
      <c r="AI38" s="76">
        <v>40483</v>
      </c>
      <c r="AJ38" s="20"/>
    </row>
    <row r="39" spans="1:36" ht="11.25">
      <c r="A39" s="191" t="s">
        <v>1013</v>
      </c>
      <c r="B39" s="19" t="s">
        <v>865</v>
      </c>
      <c r="C39" s="236">
        <v>1.27</v>
      </c>
      <c r="D39" s="188">
        <v>114600</v>
      </c>
      <c r="E39" s="195">
        <f t="shared" si="12"/>
        <v>145542</v>
      </c>
      <c r="F39" s="20"/>
      <c r="G39" s="20">
        <f t="shared" si="2"/>
        <v>145542</v>
      </c>
      <c r="H39" s="20"/>
      <c r="I39" s="200">
        <v>145500</v>
      </c>
      <c r="J39" s="197">
        <v>19600</v>
      </c>
      <c r="K39" s="197">
        <f t="shared" si="13"/>
        <v>0</v>
      </c>
      <c r="L39" s="197">
        <f t="shared" si="14"/>
        <v>3528</v>
      </c>
      <c r="M39" s="20">
        <f>J39*30%</f>
        <v>5880</v>
      </c>
      <c r="N39" s="191" t="s">
        <v>1013</v>
      </c>
      <c r="O39" s="197">
        <f t="shared" si="18"/>
        <v>0</v>
      </c>
      <c r="P39" s="197">
        <f t="shared" si="19"/>
        <v>0</v>
      </c>
      <c r="Q39" s="200">
        <f t="shared" si="15"/>
        <v>0</v>
      </c>
      <c r="R39" s="223">
        <f t="shared" si="16"/>
        <v>0</v>
      </c>
      <c r="S39" s="188"/>
      <c r="T39" s="188"/>
      <c r="U39" s="20">
        <v>21</v>
      </c>
      <c r="V39" s="20">
        <v>1</v>
      </c>
      <c r="W39" s="215">
        <f t="shared" si="6"/>
        <v>90.93</v>
      </c>
      <c r="X39" s="20">
        <f t="shared" si="17"/>
        <v>149028</v>
      </c>
      <c r="Y39" s="20"/>
      <c r="Z39" s="191" t="s">
        <v>1013</v>
      </c>
      <c r="AA39" s="21">
        <v>136600</v>
      </c>
      <c r="AB39" s="21">
        <f>5670+3402</f>
        <v>9072</v>
      </c>
      <c r="AC39" s="20">
        <v>136600</v>
      </c>
      <c r="AD39" s="29" t="s">
        <v>660</v>
      </c>
      <c r="AE39" s="20">
        <v>4500</v>
      </c>
      <c r="AF39" s="29"/>
      <c r="AG39" s="76">
        <v>40179</v>
      </c>
      <c r="AH39" s="256"/>
      <c r="AI39" s="19"/>
      <c r="AJ39" s="20"/>
    </row>
    <row r="40" spans="1:36" ht="11.25">
      <c r="A40" s="191" t="s">
        <v>1674</v>
      </c>
      <c r="B40" s="19" t="s">
        <v>1516</v>
      </c>
      <c r="C40" s="236">
        <v>1.08</v>
      </c>
      <c r="D40" s="188">
        <v>114600</v>
      </c>
      <c r="E40" s="195">
        <f t="shared" si="12"/>
        <v>123768.00000000001</v>
      </c>
      <c r="F40" s="20"/>
      <c r="G40" s="20">
        <f t="shared" si="2"/>
        <v>123768.00000000001</v>
      </c>
      <c r="H40" s="20"/>
      <c r="I40" s="200">
        <v>123800</v>
      </c>
      <c r="J40" s="197">
        <v>19600</v>
      </c>
      <c r="K40" s="197">
        <f t="shared" si="13"/>
        <v>0</v>
      </c>
      <c r="L40" s="197">
        <f t="shared" si="14"/>
        <v>3528</v>
      </c>
      <c r="M40" s="20">
        <f>J40*0%</f>
        <v>0</v>
      </c>
      <c r="N40" s="191" t="s">
        <v>1674</v>
      </c>
      <c r="O40" s="197">
        <f t="shared" si="18"/>
        <v>0</v>
      </c>
      <c r="P40" s="197">
        <f t="shared" si="19"/>
        <v>0</v>
      </c>
      <c r="Q40" s="200">
        <f t="shared" si="15"/>
        <v>0</v>
      </c>
      <c r="R40" s="223">
        <f t="shared" si="16"/>
        <v>0</v>
      </c>
      <c r="S40" s="188"/>
      <c r="T40" s="188"/>
      <c r="U40" s="20">
        <v>20</v>
      </c>
      <c r="V40" s="20"/>
      <c r="W40" s="215">
        <f t="shared" si="6"/>
        <v>86.6</v>
      </c>
      <c r="X40" s="20">
        <f t="shared" si="17"/>
        <v>127328</v>
      </c>
      <c r="Y40" s="20"/>
      <c r="Z40" s="191" t="s">
        <v>1674</v>
      </c>
      <c r="AA40" s="21">
        <f>116500</f>
        <v>116500</v>
      </c>
      <c r="AB40" s="21">
        <v>3402</v>
      </c>
      <c r="AC40" s="20">
        <v>116500</v>
      </c>
      <c r="AD40" s="29" t="s">
        <v>1018</v>
      </c>
      <c r="AE40" s="20">
        <v>15000</v>
      </c>
      <c r="AF40" s="29" t="s">
        <v>881</v>
      </c>
      <c r="AG40" s="76">
        <v>40179</v>
      </c>
      <c r="AH40" s="256" t="s">
        <v>240</v>
      </c>
      <c r="AI40" s="76">
        <v>46252</v>
      </c>
      <c r="AJ40" s="20"/>
    </row>
    <row r="41" spans="1:36" ht="11.25">
      <c r="A41" s="191" t="s">
        <v>1006</v>
      </c>
      <c r="B41" s="19" t="s">
        <v>866</v>
      </c>
      <c r="C41" s="236">
        <v>1.57</v>
      </c>
      <c r="D41" s="188">
        <v>114600</v>
      </c>
      <c r="E41" s="195">
        <f t="shared" si="12"/>
        <v>179922</v>
      </c>
      <c r="F41" s="20"/>
      <c r="G41" s="20">
        <f t="shared" si="2"/>
        <v>179922</v>
      </c>
      <c r="H41" s="20">
        <v>3420</v>
      </c>
      <c r="I41" s="200">
        <v>188300</v>
      </c>
      <c r="J41" s="197">
        <v>19600</v>
      </c>
      <c r="K41" s="197">
        <f t="shared" si="13"/>
        <v>0</v>
      </c>
      <c r="L41" s="197">
        <f t="shared" si="14"/>
        <v>3528</v>
      </c>
      <c r="M41" s="20">
        <f>J41*0%</f>
        <v>0</v>
      </c>
      <c r="N41" s="191" t="s">
        <v>1006</v>
      </c>
      <c r="O41" s="197">
        <f t="shared" si="18"/>
        <v>0</v>
      </c>
      <c r="P41" s="197">
        <f>J41*50%</f>
        <v>9800</v>
      </c>
      <c r="Q41" s="200">
        <f t="shared" si="15"/>
        <v>0</v>
      </c>
      <c r="R41" s="223">
        <f>J41*12%</f>
        <v>2352</v>
      </c>
      <c r="S41" s="188"/>
      <c r="T41" s="188">
        <v>1000</v>
      </c>
      <c r="U41" s="20">
        <v>23</v>
      </c>
      <c r="V41" s="20"/>
      <c r="W41" s="215">
        <f t="shared" si="6"/>
        <v>99.59</v>
      </c>
      <c r="X41" s="20">
        <f t="shared" si="17"/>
        <v>191828</v>
      </c>
      <c r="Y41" s="20"/>
      <c r="Z41" s="191" t="s">
        <v>1006</v>
      </c>
      <c r="AA41" s="21">
        <f>175880+3420</f>
        <v>179300</v>
      </c>
      <c r="AB41" s="21">
        <f>2268+3402+9450+1000</f>
        <v>16120</v>
      </c>
      <c r="AC41" s="20">
        <v>179300</v>
      </c>
      <c r="AD41" s="207" t="s">
        <v>1519</v>
      </c>
      <c r="AE41" s="20"/>
      <c r="AF41" s="29" t="s">
        <v>882</v>
      </c>
      <c r="AG41" s="76">
        <v>39448</v>
      </c>
      <c r="AH41" s="256" t="s">
        <v>659</v>
      </c>
      <c r="AI41" s="260">
        <v>39234</v>
      </c>
      <c r="AJ41" s="20">
        <v>899500</v>
      </c>
    </row>
    <row r="42" spans="1:36" ht="11.25">
      <c r="A42" s="191" t="s">
        <v>1007</v>
      </c>
      <c r="B42" s="19" t="s">
        <v>1012</v>
      </c>
      <c r="C42" s="236">
        <v>1.52</v>
      </c>
      <c r="D42" s="188">
        <v>114600</v>
      </c>
      <c r="E42" s="195">
        <f t="shared" si="12"/>
        <v>174192</v>
      </c>
      <c r="F42" s="20"/>
      <c r="G42" s="20">
        <f t="shared" si="2"/>
        <v>174192</v>
      </c>
      <c r="H42" s="20"/>
      <c r="I42" s="200">
        <v>174200</v>
      </c>
      <c r="J42" s="197">
        <v>19600</v>
      </c>
      <c r="K42" s="197">
        <f t="shared" si="13"/>
        <v>0</v>
      </c>
      <c r="L42" s="197">
        <f t="shared" si="14"/>
        <v>3528</v>
      </c>
      <c r="M42" s="20">
        <f>J42*30%</f>
        <v>5880</v>
      </c>
      <c r="N42" s="191" t="s">
        <v>1007</v>
      </c>
      <c r="O42" s="197">
        <f t="shared" si="18"/>
        <v>0</v>
      </c>
      <c r="P42" s="197">
        <f t="shared" si="19"/>
        <v>0</v>
      </c>
      <c r="Q42" s="200">
        <f t="shared" si="15"/>
        <v>0</v>
      </c>
      <c r="R42" s="223">
        <f t="shared" si="16"/>
        <v>0</v>
      </c>
      <c r="S42" s="188"/>
      <c r="T42" s="188"/>
      <c r="U42" s="20">
        <v>21</v>
      </c>
      <c r="V42" s="20">
        <v>1</v>
      </c>
      <c r="W42" s="215">
        <f t="shared" si="6"/>
        <v>90.93</v>
      </c>
      <c r="X42" s="20">
        <f t="shared" si="17"/>
        <v>177728</v>
      </c>
      <c r="Y42" s="20"/>
      <c r="Z42" s="191" t="s">
        <v>1007</v>
      </c>
      <c r="AA42" s="21">
        <v>164600</v>
      </c>
      <c r="AB42" s="21">
        <f>5670+3402</f>
        <v>9072</v>
      </c>
      <c r="AC42" s="20">
        <v>164600</v>
      </c>
      <c r="AD42" s="29" t="s">
        <v>660</v>
      </c>
      <c r="AE42" s="20"/>
      <c r="AF42" s="29" t="s">
        <v>886</v>
      </c>
      <c r="AG42" s="76">
        <v>40179</v>
      </c>
      <c r="AH42" s="256" t="s">
        <v>659</v>
      </c>
      <c r="AI42" s="76">
        <v>42297</v>
      </c>
      <c r="AJ42" s="20"/>
    </row>
    <row r="43" spans="1:36" ht="11.25">
      <c r="A43" s="191" t="s">
        <v>74</v>
      </c>
      <c r="B43" s="19" t="s">
        <v>1012</v>
      </c>
      <c r="C43" s="236">
        <v>1.52</v>
      </c>
      <c r="D43" s="188">
        <v>114600</v>
      </c>
      <c r="E43" s="195">
        <f t="shared" si="12"/>
        <v>174192</v>
      </c>
      <c r="F43" s="20">
        <f>E43*8%</f>
        <v>13935.36</v>
      </c>
      <c r="G43" s="20">
        <f t="shared" si="2"/>
        <v>188127.36</v>
      </c>
      <c r="H43" s="20"/>
      <c r="I43" s="200">
        <v>188100</v>
      </c>
      <c r="J43" s="197">
        <v>19600</v>
      </c>
      <c r="K43" s="197">
        <f>J43*300%</f>
        <v>58800</v>
      </c>
      <c r="L43" s="197">
        <f t="shared" si="14"/>
        <v>3528</v>
      </c>
      <c r="M43" s="20">
        <f>J43*0%</f>
        <v>0</v>
      </c>
      <c r="N43" s="191" t="s">
        <v>1008</v>
      </c>
      <c r="O43" s="197">
        <f t="shared" si="18"/>
        <v>0</v>
      </c>
      <c r="P43" s="197">
        <f t="shared" si="19"/>
        <v>0</v>
      </c>
      <c r="Q43" s="200">
        <f t="shared" si="15"/>
        <v>0</v>
      </c>
      <c r="R43" s="223">
        <f t="shared" si="16"/>
        <v>0</v>
      </c>
      <c r="S43" s="188"/>
      <c r="T43" s="188"/>
      <c r="U43" s="20">
        <v>20</v>
      </c>
      <c r="V43" s="20">
        <v>8</v>
      </c>
      <c r="W43" s="215">
        <f t="shared" si="6"/>
        <v>86.6</v>
      </c>
      <c r="X43" s="20">
        <f t="shared" si="17"/>
        <v>191628</v>
      </c>
      <c r="Y43" s="20"/>
      <c r="Z43" s="191" t="s">
        <v>1008</v>
      </c>
      <c r="AA43" s="21">
        <v>177800</v>
      </c>
      <c r="AB43" s="21">
        <f>56700+3402</f>
        <v>60102</v>
      </c>
      <c r="AC43" s="20">
        <v>177800</v>
      </c>
      <c r="AD43" s="207" t="s">
        <v>1519</v>
      </c>
      <c r="AE43" s="20">
        <v>10000</v>
      </c>
      <c r="AF43" s="29"/>
      <c r="AG43" s="76">
        <v>39814</v>
      </c>
      <c r="AH43" s="256"/>
      <c r="AI43" s="19"/>
      <c r="AJ43" s="20"/>
    </row>
    <row r="44" spans="1:36" ht="11.25">
      <c r="A44" s="191" t="s">
        <v>1009</v>
      </c>
      <c r="B44" s="19" t="s">
        <v>656</v>
      </c>
      <c r="C44" s="236">
        <v>1.42</v>
      </c>
      <c r="D44" s="188">
        <v>114600</v>
      </c>
      <c r="E44" s="195">
        <f t="shared" si="12"/>
        <v>162732</v>
      </c>
      <c r="F44" s="20"/>
      <c r="G44" s="20">
        <f t="shared" si="2"/>
        <v>162732</v>
      </c>
      <c r="H44" s="20"/>
      <c r="I44" s="200">
        <v>162700</v>
      </c>
      <c r="J44" s="197">
        <v>19600</v>
      </c>
      <c r="K44" s="197">
        <f t="shared" si="13"/>
        <v>0</v>
      </c>
      <c r="L44" s="197">
        <f t="shared" si="14"/>
        <v>3528</v>
      </c>
      <c r="M44" s="20">
        <f>J44*30%</f>
        <v>5880</v>
      </c>
      <c r="N44" s="191" t="s">
        <v>1009</v>
      </c>
      <c r="O44" s="197">
        <f t="shared" si="18"/>
        <v>0</v>
      </c>
      <c r="P44" s="197">
        <f t="shared" si="19"/>
        <v>0</v>
      </c>
      <c r="Q44" s="200">
        <f t="shared" si="15"/>
        <v>0</v>
      </c>
      <c r="R44" s="223">
        <f>J44*12%</f>
        <v>2352</v>
      </c>
      <c r="S44" s="188"/>
      <c r="T44" s="188"/>
      <c r="U44" s="20">
        <v>21</v>
      </c>
      <c r="V44" s="20">
        <v>1</v>
      </c>
      <c r="W44" s="215">
        <f t="shared" si="6"/>
        <v>90.93</v>
      </c>
      <c r="X44" s="20">
        <f t="shared" si="17"/>
        <v>166228</v>
      </c>
      <c r="Y44" s="20"/>
      <c r="Z44" s="191" t="s">
        <v>1009</v>
      </c>
      <c r="AA44" s="21">
        <v>159000</v>
      </c>
      <c r="AB44" s="21">
        <f>5670+3402</f>
        <v>9072</v>
      </c>
      <c r="AC44" s="20">
        <v>159000</v>
      </c>
      <c r="AD44" s="29" t="s">
        <v>660</v>
      </c>
      <c r="AE44" s="20">
        <v>4500</v>
      </c>
      <c r="AF44" s="29" t="s">
        <v>892</v>
      </c>
      <c r="AG44" s="76">
        <v>39448</v>
      </c>
      <c r="AH44" s="256" t="s">
        <v>650</v>
      </c>
      <c r="AI44" s="76">
        <v>39517</v>
      </c>
      <c r="AJ44" s="20"/>
    </row>
    <row r="45" spans="1:36" ht="11.25">
      <c r="A45" s="191"/>
      <c r="B45" s="19"/>
      <c r="C45" s="236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91"/>
      <c r="O45" s="20"/>
      <c r="P45" s="20"/>
      <c r="Q45" s="20"/>
      <c r="R45" s="188"/>
      <c r="S45" s="188"/>
      <c r="T45" s="188"/>
      <c r="U45" s="20"/>
      <c r="V45" s="20"/>
      <c r="W45" s="215"/>
      <c r="X45" s="20"/>
      <c r="Y45" s="20"/>
      <c r="Z45" s="191"/>
      <c r="AA45" s="21"/>
      <c r="AB45" s="21"/>
      <c r="AC45" s="20"/>
      <c r="AD45" s="29"/>
      <c r="AE45" s="20"/>
      <c r="AF45" s="29"/>
      <c r="AG45" s="34"/>
      <c r="AH45" s="256"/>
      <c r="AI45" s="19"/>
      <c r="AJ45" s="20"/>
    </row>
    <row r="46" spans="1:36" s="183" customFormat="1" ht="11.25">
      <c r="A46" s="192" t="s">
        <v>1010</v>
      </c>
      <c r="B46" s="25"/>
      <c r="C46" s="237"/>
      <c r="D46" s="26"/>
      <c r="E46" s="26"/>
      <c r="F46" s="26"/>
      <c r="G46" s="206">
        <f>SUM(G34:G45)</f>
        <v>1767716.46</v>
      </c>
      <c r="H46" s="20">
        <f>SUM(H34:H45)</f>
        <v>3420</v>
      </c>
      <c r="I46" s="26">
        <f>SUM(I34:I45)</f>
        <v>1776100</v>
      </c>
      <c r="J46" s="26"/>
      <c r="K46" s="26">
        <f>SUM(K34:K45)</f>
        <v>78400</v>
      </c>
      <c r="L46" s="26">
        <f>SUM(L34:L45)</f>
        <v>38808</v>
      </c>
      <c r="M46" s="26">
        <f>SUM(M34:M45)</f>
        <v>41160</v>
      </c>
      <c r="N46" s="192" t="s">
        <v>1010</v>
      </c>
      <c r="O46" s="26">
        <f aca="true" t="shared" si="20" ref="O46:T46">SUM(O34:O45)</f>
        <v>2352</v>
      </c>
      <c r="P46" s="26">
        <f t="shared" si="20"/>
        <v>9800</v>
      </c>
      <c r="Q46" s="26">
        <f t="shared" si="20"/>
        <v>0</v>
      </c>
      <c r="R46" s="194">
        <f t="shared" si="20"/>
        <v>7056</v>
      </c>
      <c r="S46" s="194">
        <f t="shared" si="20"/>
        <v>1400</v>
      </c>
      <c r="T46" s="194">
        <f t="shared" si="20"/>
        <v>1000</v>
      </c>
      <c r="U46" s="26"/>
      <c r="V46" s="26"/>
      <c r="W46" s="216"/>
      <c r="X46" s="26"/>
      <c r="Y46" s="26"/>
      <c r="Z46" s="192" t="s">
        <v>1010</v>
      </c>
      <c r="AA46" s="31">
        <f>SUM(AA34:AA45)</f>
        <v>1693200</v>
      </c>
      <c r="AB46" s="31">
        <f>SUM(AB34:AB45)</f>
        <v>177036</v>
      </c>
      <c r="AC46" s="26">
        <f>SUM(AC34:AC45)</f>
        <v>1693200</v>
      </c>
      <c r="AD46" s="30"/>
      <c r="AE46" s="26">
        <f>SUM(AE34:AE45)</f>
        <v>41500</v>
      </c>
      <c r="AF46" s="30"/>
      <c r="AG46" s="35"/>
      <c r="AH46" s="257"/>
      <c r="AI46" s="25"/>
      <c r="AJ46" s="26">
        <f>SUM(AJ34:AJ45)</f>
        <v>899500</v>
      </c>
    </row>
    <row r="47" spans="1:36" s="81" customFormat="1" ht="11.25">
      <c r="A47" s="77" t="s">
        <v>1517</v>
      </c>
      <c r="B47" s="78"/>
      <c r="C47" s="239"/>
      <c r="D47" s="79"/>
      <c r="E47" s="79"/>
      <c r="F47" s="79"/>
      <c r="G47" s="79"/>
      <c r="H47" s="79"/>
      <c r="I47" s="79">
        <f>I32+I46</f>
        <v>3037200</v>
      </c>
      <c r="J47" s="79">
        <f aca="true" t="shared" si="21" ref="J47:O47">J32+J46</f>
        <v>0</v>
      </c>
      <c r="K47" s="79">
        <f t="shared" si="21"/>
        <v>98000</v>
      </c>
      <c r="L47" s="79">
        <f t="shared" si="21"/>
        <v>63504</v>
      </c>
      <c r="M47" s="79">
        <f t="shared" si="21"/>
        <v>70560</v>
      </c>
      <c r="N47" s="77" t="s">
        <v>1517</v>
      </c>
      <c r="O47" s="79">
        <f t="shared" si="21"/>
        <v>4704</v>
      </c>
      <c r="P47" s="79">
        <f>P32+P46</f>
        <v>9800</v>
      </c>
      <c r="Q47" s="79">
        <f>Q32+Q46</f>
        <v>4900</v>
      </c>
      <c r="R47" s="221">
        <f>R32+R46</f>
        <v>9408</v>
      </c>
      <c r="S47" s="221">
        <f>S32+S46</f>
        <v>1400</v>
      </c>
      <c r="T47" s="221">
        <f>T32+T46</f>
        <v>1000</v>
      </c>
      <c r="U47" s="79">
        <f>SUM(U23:U46)</f>
        <v>374</v>
      </c>
      <c r="V47" s="79">
        <f>SUM(V23:V46)</f>
        <v>35</v>
      </c>
      <c r="W47" s="217"/>
      <c r="X47" s="79"/>
      <c r="Y47" s="79"/>
      <c r="Z47" s="77" t="s">
        <v>1517</v>
      </c>
      <c r="AA47" s="79">
        <f>AA32+AA46</f>
        <v>2770000</v>
      </c>
      <c r="AB47" s="79">
        <f>AB32+AB46</f>
        <v>253959</v>
      </c>
      <c r="AC47" s="79">
        <f>AC32+AC46</f>
        <v>2879200</v>
      </c>
      <c r="AD47" s="77"/>
      <c r="AE47" s="79">
        <f>AE32+AE46</f>
        <v>41500</v>
      </c>
      <c r="AF47" s="77"/>
      <c r="AG47" s="80"/>
      <c r="AH47" s="259"/>
      <c r="AI47" s="78"/>
      <c r="AJ47" s="79">
        <f>AJ32+AJ46</f>
        <v>1405000</v>
      </c>
    </row>
    <row r="48" spans="1:36" s="81" customFormat="1" ht="11.25">
      <c r="A48" s="176"/>
      <c r="B48" s="177"/>
      <c r="C48" s="254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O48" s="185"/>
      <c r="P48" s="185"/>
      <c r="Q48" s="185"/>
      <c r="R48" s="222"/>
      <c r="S48" s="222"/>
      <c r="T48" s="222"/>
      <c r="U48" s="185"/>
      <c r="V48" s="185"/>
      <c r="W48" s="186"/>
      <c r="X48" s="185"/>
      <c r="Y48" s="185"/>
      <c r="Z48" s="176"/>
      <c r="AA48" s="185"/>
      <c r="AB48" s="185"/>
      <c r="AC48" s="185"/>
      <c r="AE48" s="185"/>
      <c r="AG48" s="187"/>
      <c r="AH48" s="184"/>
      <c r="AI48" s="184"/>
      <c r="AJ48" s="185"/>
    </row>
  </sheetData>
  <sheetProtection/>
  <mergeCells count="41">
    <mergeCell ref="O1:T1"/>
    <mergeCell ref="X1:Y1"/>
    <mergeCell ref="X2:X5"/>
    <mergeCell ref="Y2:Y5"/>
    <mergeCell ref="AH2:AH5"/>
    <mergeCell ref="AD1:AD5"/>
    <mergeCell ref="AF1:AF5"/>
    <mergeCell ref="AG1:AG5"/>
    <mergeCell ref="AE1:AE5"/>
    <mergeCell ref="Z1:Z5"/>
    <mergeCell ref="AA1:AA5"/>
    <mergeCell ref="AB1:AB5"/>
    <mergeCell ref="AC1:AC5"/>
    <mergeCell ref="AI2:AI5"/>
    <mergeCell ref="Q3:Q5"/>
    <mergeCell ref="N1:N5"/>
    <mergeCell ref="U1:U5"/>
    <mergeCell ref="V1:V5"/>
    <mergeCell ref="W1:W5"/>
    <mergeCell ref="O2:T2"/>
    <mergeCell ref="T3:T5"/>
    <mergeCell ref="S3:S5"/>
    <mergeCell ref="R3:R5"/>
    <mergeCell ref="D1:M1"/>
    <mergeCell ref="E2:E5"/>
    <mergeCell ref="F2:F5"/>
    <mergeCell ref="G2:G5"/>
    <mergeCell ref="D2:D5"/>
    <mergeCell ref="H2:H5"/>
    <mergeCell ref="I2:I5"/>
    <mergeCell ref="M3:M5"/>
    <mergeCell ref="A1:A5"/>
    <mergeCell ref="B1:B5"/>
    <mergeCell ref="C1:C5"/>
    <mergeCell ref="AJ2:AJ5"/>
    <mergeCell ref="J2:M2"/>
    <mergeCell ref="O3:O5"/>
    <mergeCell ref="P3:P5"/>
    <mergeCell ref="J3:J5"/>
    <mergeCell ref="K3:K5"/>
    <mergeCell ref="L3:L5"/>
  </mergeCells>
  <printOptions horizontalCentered="1"/>
  <pageMargins left="0.31496062992125984" right="0.31496062992125984" top="0.39" bottom="0.38" header="0.18" footer="0.26"/>
  <pageSetup horizontalDpi="600" verticalDpi="600" orientation="landscape" paperSize="9" r:id="rId1"/>
  <headerFooter alignWithMargins="0">
    <oddHeader>&amp;C&amp;"Arial,Félkövér dőlt"KIMUTATÁS A KÖZALKALMAZOTTI BÉREK SZÁMÍTÁSÁHOZ&amp;R&amp;"Arial,Dőlt"&amp;8 9.számú melléklet</oddHeader>
    <oddFooter>&amp;C&amp;"Arial,Dőlt"&amp;8&amp;P. oldal</oddFooter>
  </headerFooter>
  <colBreaks count="1" manualBreakCount="1">
    <brk id="2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0.00390625" style="37" customWidth="1"/>
    <col min="2" max="2" width="13.125" style="133" customWidth="1"/>
    <col min="3" max="3" width="15.00390625" style="37" customWidth="1"/>
    <col min="4" max="5" width="13.875" style="37" customWidth="1"/>
    <col min="6" max="16384" width="9.125" style="37" customWidth="1"/>
  </cols>
  <sheetData>
    <row r="1" spans="1:5" ht="12" customHeight="1">
      <c r="A1" s="356" t="s">
        <v>1645</v>
      </c>
      <c r="B1" s="356" t="s">
        <v>1646</v>
      </c>
      <c r="C1" s="407" t="s">
        <v>676</v>
      </c>
      <c r="D1" s="407" t="s">
        <v>675</v>
      </c>
      <c r="E1" s="421" t="s">
        <v>1647</v>
      </c>
    </row>
    <row r="2" spans="1:5" ht="12">
      <c r="A2" s="353"/>
      <c r="B2" s="353"/>
      <c r="C2" s="408"/>
      <c r="D2" s="408"/>
      <c r="E2" s="485"/>
    </row>
    <row r="3" spans="1:5" ht="12">
      <c r="A3" s="353"/>
      <c r="B3" s="353"/>
      <c r="C3" s="408"/>
      <c r="D3" s="408"/>
      <c r="E3" s="485"/>
    </row>
    <row r="4" spans="1:5" ht="12.75" thickBot="1">
      <c r="A4" s="352"/>
      <c r="B4" s="352"/>
      <c r="C4" s="409"/>
      <c r="D4" s="409"/>
      <c r="E4" s="486"/>
    </row>
    <row r="5" spans="1:5" ht="12.75" thickTop="1">
      <c r="A5" s="41"/>
      <c r="B5" s="43"/>
      <c r="C5" s="41"/>
      <c r="D5" s="41"/>
      <c r="E5" s="44"/>
    </row>
    <row r="6" spans="1:5" ht="12">
      <c r="A6" s="41" t="s">
        <v>845</v>
      </c>
      <c r="B6" s="43" t="s">
        <v>1649</v>
      </c>
      <c r="C6" s="5">
        <v>300000</v>
      </c>
      <c r="D6" s="5">
        <v>300000</v>
      </c>
      <c r="E6" s="44">
        <v>75000</v>
      </c>
    </row>
    <row r="7" spans="1:5" ht="12">
      <c r="A7" s="41" t="s">
        <v>651</v>
      </c>
      <c r="B7" s="43" t="s">
        <v>846</v>
      </c>
      <c r="C7" s="5">
        <v>40000</v>
      </c>
      <c r="D7" s="5">
        <v>40000</v>
      </c>
      <c r="E7" s="44"/>
    </row>
    <row r="8" spans="1:5" ht="12">
      <c r="A8" s="41" t="s">
        <v>847</v>
      </c>
      <c r="B8" s="43" t="s">
        <v>846</v>
      </c>
      <c r="C8" s="5">
        <v>30000</v>
      </c>
      <c r="D8" s="5">
        <v>30000</v>
      </c>
      <c r="E8" s="44"/>
    </row>
    <row r="9" spans="1:5" ht="12">
      <c r="A9" s="41" t="s">
        <v>657</v>
      </c>
      <c r="B9" s="43" t="s">
        <v>846</v>
      </c>
      <c r="C9" s="5">
        <v>30000</v>
      </c>
      <c r="D9" s="5">
        <v>30000</v>
      </c>
      <c r="E9" s="44"/>
    </row>
    <row r="10" spans="1:5" ht="12">
      <c r="A10" s="41" t="s">
        <v>848</v>
      </c>
      <c r="B10" s="43" t="s">
        <v>846</v>
      </c>
      <c r="C10" s="5">
        <v>30000</v>
      </c>
      <c r="D10" s="5">
        <v>30000</v>
      </c>
      <c r="E10" s="44"/>
    </row>
    <row r="11" spans="1:5" ht="12">
      <c r="A11" s="41" t="s">
        <v>661</v>
      </c>
      <c r="B11" s="43" t="s">
        <v>846</v>
      </c>
      <c r="C11" s="5">
        <v>30000</v>
      </c>
      <c r="D11" s="5">
        <v>30000</v>
      </c>
      <c r="E11" s="44"/>
    </row>
    <row r="12" spans="1:5" ht="12">
      <c r="A12" s="41" t="s">
        <v>849</v>
      </c>
      <c r="B12" s="43" t="s">
        <v>846</v>
      </c>
      <c r="C12" s="5">
        <v>30000</v>
      </c>
      <c r="D12" s="5">
        <v>30000</v>
      </c>
      <c r="E12" s="44"/>
    </row>
    <row r="13" spans="1:5" ht="12">
      <c r="A13" s="41"/>
      <c r="B13" s="43"/>
      <c r="C13" s="5"/>
      <c r="D13" s="5"/>
      <c r="E13" s="44"/>
    </row>
    <row r="14" spans="1:5" ht="12">
      <c r="A14" s="41" t="s">
        <v>850</v>
      </c>
      <c r="B14" s="43"/>
      <c r="C14" s="5">
        <f>SUM(C7:C13)</f>
        <v>190000</v>
      </c>
      <c r="D14" s="5">
        <f>SUM(D7:D13)</f>
        <v>190000</v>
      </c>
      <c r="E14" s="44">
        <f>SUM(E6:E13)</f>
        <v>75000</v>
      </c>
    </row>
    <row r="15" spans="1:5" ht="12">
      <c r="A15" s="49"/>
      <c r="B15" s="132"/>
      <c r="C15" s="49"/>
      <c r="D15" s="49"/>
      <c r="E15" s="53"/>
    </row>
    <row r="16" ht="12">
      <c r="E16" s="55"/>
    </row>
    <row r="17" spans="1:5" ht="12">
      <c r="A17" s="356" t="s">
        <v>1645</v>
      </c>
      <c r="B17" s="421" t="s">
        <v>1682</v>
      </c>
      <c r="C17" s="419" t="s">
        <v>677</v>
      </c>
      <c r="D17" s="407" t="s">
        <v>678</v>
      </c>
      <c r="E17" s="55"/>
    </row>
    <row r="18" spans="1:5" ht="12">
      <c r="A18" s="353"/>
      <c r="B18" s="485"/>
      <c r="C18" s="487"/>
      <c r="D18" s="408"/>
      <c r="E18" s="55"/>
    </row>
    <row r="19" spans="1:5" ht="12">
      <c r="A19" s="353"/>
      <c r="B19" s="485"/>
      <c r="C19" s="487"/>
      <c r="D19" s="408"/>
      <c r="E19" s="55"/>
    </row>
    <row r="20" spans="1:5" ht="12.75" thickBot="1">
      <c r="A20" s="352"/>
      <c r="B20" s="486"/>
      <c r="C20" s="488"/>
      <c r="D20" s="409"/>
      <c r="E20" s="55"/>
    </row>
    <row r="21" spans="1:4" ht="12.75" thickTop="1">
      <c r="A21" s="41"/>
      <c r="B21" s="134"/>
      <c r="C21" s="135"/>
      <c r="D21" s="42"/>
    </row>
    <row r="22" spans="1:4" ht="12">
      <c r="A22" s="41" t="s">
        <v>851</v>
      </c>
      <c r="B22" s="43" t="s">
        <v>852</v>
      </c>
      <c r="C22" s="5">
        <v>70000</v>
      </c>
      <c r="D22" s="44">
        <v>73500</v>
      </c>
    </row>
    <row r="23" spans="1:4" ht="12">
      <c r="A23" s="41" t="s">
        <v>704</v>
      </c>
      <c r="B23" s="43" t="s">
        <v>705</v>
      </c>
      <c r="C23" s="5">
        <v>80000</v>
      </c>
      <c r="D23" s="44">
        <v>84000</v>
      </c>
    </row>
    <row r="24" spans="1:4" ht="12">
      <c r="A24" s="49"/>
      <c r="B24" s="132"/>
      <c r="C24" s="49"/>
      <c r="D24" s="52"/>
    </row>
  </sheetData>
  <sheetProtection/>
  <mergeCells count="9">
    <mergeCell ref="E1:E4"/>
    <mergeCell ref="A17:A20"/>
    <mergeCell ref="B17:B20"/>
    <mergeCell ref="C17:C20"/>
    <mergeCell ref="D17:D20"/>
    <mergeCell ref="A1:A4"/>
    <mergeCell ref="B1:B4"/>
    <mergeCell ref="C1:C4"/>
    <mergeCell ref="D1:D4"/>
  </mergeCells>
  <printOptions horizontalCentered="1"/>
  <pageMargins left="0.7874015748031497" right="0.7874015748031497" top="1.3385826771653544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dőlt"&amp;11KIMUTATÁS A HIVATAL KÖLTSÉGVETÉSI CÍMÉN ELSZÁMOLT
 SZEMÉLYI JUTTATÁSOK SZÁMÍTÁSÁHOZ&amp;R&amp;"Arial,Dőlt"&amp;8 8.számú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2" sqref="F22"/>
    </sheetView>
  </sheetViews>
  <sheetFormatPr defaultColWidth="9.00390625" defaultRowHeight="12.75"/>
  <cols>
    <col min="1" max="1" width="21.875" style="15" customWidth="1"/>
    <col min="2" max="2" width="7.875" style="17" bestFit="1" customWidth="1"/>
    <col min="3" max="3" width="10.375" style="16" customWidth="1"/>
    <col min="4" max="4" width="9.25390625" style="240" bestFit="1" customWidth="1"/>
    <col min="5" max="5" width="9.75390625" style="16" customWidth="1"/>
    <col min="6" max="6" width="8.25390625" style="16" customWidth="1"/>
    <col min="7" max="7" width="9.625" style="16" customWidth="1"/>
    <col min="8" max="8" width="11.125" style="16" customWidth="1"/>
    <col min="9" max="9" width="12.875" style="16" bestFit="1" customWidth="1"/>
    <col min="10" max="10" width="10.75390625" style="16" bestFit="1" customWidth="1"/>
    <col min="11" max="11" width="12.875" style="16" bestFit="1" customWidth="1"/>
    <col min="12" max="12" width="26.75390625" style="15" customWidth="1"/>
    <col min="13" max="14" width="14.00390625" style="15" customWidth="1"/>
    <col min="15" max="15" width="13.875" style="15" customWidth="1"/>
    <col min="16" max="16" width="9.875" style="18" customWidth="1"/>
    <col min="17" max="17" width="9.125" style="17" customWidth="1"/>
    <col min="18" max="18" width="10.00390625" style="17" bestFit="1" customWidth="1"/>
    <col min="19" max="19" width="11.625" style="16" bestFit="1" customWidth="1"/>
    <col min="20" max="16384" width="9.125" style="15" customWidth="1"/>
  </cols>
  <sheetData>
    <row r="1" spans="1:19" ht="12.75" customHeight="1">
      <c r="A1" s="432" t="s">
        <v>220</v>
      </c>
      <c r="B1" s="435" t="s">
        <v>1490</v>
      </c>
      <c r="C1" s="455" t="s">
        <v>1491</v>
      </c>
      <c r="D1" s="438" t="s">
        <v>1492</v>
      </c>
      <c r="E1" s="490" t="s">
        <v>499</v>
      </c>
      <c r="F1" s="491"/>
      <c r="G1" s="491"/>
      <c r="H1" s="492"/>
      <c r="I1" s="455" t="s">
        <v>500</v>
      </c>
      <c r="J1" s="455" t="s">
        <v>1531</v>
      </c>
      <c r="K1" s="455" t="s">
        <v>1510</v>
      </c>
      <c r="L1" s="432" t="s">
        <v>220</v>
      </c>
      <c r="M1" s="447" t="s">
        <v>646</v>
      </c>
      <c r="N1" s="447" t="s">
        <v>502</v>
      </c>
      <c r="O1" s="447" t="s">
        <v>501</v>
      </c>
      <c r="P1" s="476" t="s">
        <v>647</v>
      </c>
      <c r="Q1" s="447" t="s">
        <v>231</v>
      </c>
      <c r="R1" s="447" t="s">
        <v>232</v>
      </c>
      <c r="S1" s="466" t="s">
        <v>648</v>
      </c>
    </row>
    <row r="2" spans="1:19" ht="11.25" customHeight="1">
      <c r="A2" s="493"/>
      <c r="B2" s="497"/>
      <c r="C2" s="495"/>
      <c r="D2" s="503"/>
      <c r="E2" s="441" t="s">
        <v>1493</v>
      </c>
      <c r="F2" s="441" t="s">
        <v>1494</v>
      </c>
      <c r="G2" s="441" t="s">
        <v>1491</v>
      </c>
      <c r="H2" s="441" t="s">
        <v>1530</v>
      </c>
      <c r="I2" s="441"/>
      <c r="J2" s="495"/>
      <c r="K2" s="495"/>
      <c r="L2" s="493"/>
      <c r="M2" s="495"/>
      <c r="N2" s="448"/>
      <c r="O2" s="495"/>
      <c r="P2" s="497"/>
      <c r="Q2" s="497"/>
      <c r="R2" s="497"/>
      <c r="S2" s="499"/>
    </row>
    <row r="3" spans="1:19" ht="11.25" customHeight="1">
      <c r="A3" s="493"/>
      <c r="B3" s="497"/>
      <c r="C3" s="495"/>
      <c r="D3" s="503"/>
      <c r="E3" s="448"/>
      <c r="F3" s="441"/>
      <c r="G3" s="441"/>
      <c r="H3" s="501"/>
      <c r="I3" s="441"/>
      <c r="J3" s="495"/>
      <c r="K3" s="495"/>
      <c r="L3" s="493"/>
      <c r="M3" s="495"/>
      <c r="N3" s="448"/>
      <c r="O3" s="495"/>
      <c r="P3" s="497"/>
      <c r="Q3" s="497"/>
      <c r="R3" s="497"/>
      <c r="S3" s="499"/>
    </row>
    <row r="4" spans="1:19" ht="30" customHeight="1" thickBot="1">
      <c r="A4" s="494"/>
      <c r="B4" s="498"/>
      <c r="C4" s="496"/>
      <c r="D4" s="504"/>
      <c r="E4" s="489"/>
      <c r="F4" s="489"/>
      <c r="G4" s="489"/>
      <c r="H4" s="502"/>
      <c r="I4" s="489"/>
      <c r="J4" s="496"/>
      <c r="K4" s="496"/>
      <c r="L4" s="494"/>
      <c r="M4" s="496"/>
      <c r="N4" s="449"/>
      <c r="O4" s="496"/>
      <c r="P4" s="498"/>
      <c r="Q4" s="498"/>
      <c r="R4" s="498"/>
      <c r="S4" s="500"/>
    </row>
    <row r="5" spans="1:19" ht="12" thickTop="1">
      <c r="A5" s="29"/>
      <c r="B5" s="19"/>
      <c r="C5" s="20"/>
      <c r="D5" s="236"/>
      <c r="E5" s="20"/>
      <c r="F5" s="20"/>
      <c r="G5" s="20"/>
      <c r="H5" s="20"/>
      <c r="I5" s="20"/>
      <c r="J5" s="20"/>
      <c r="K5" s="20"/>
      <c r="L5" s="29"/>
      <c r="M5" s="29"/>
      <c r="N5" s="29"/>
      <c r="O5" s="29"/>
      <c r="P5" s="34"/>
      <c r="Q5" s="19"/>
      <c r="R5" s="19"/>
      <c r="S5" s="21"/>
    </row>
    <row r="6" spans="1:19" ht="11.25">
      <c r="A6" s="29"/>
      <c r="B6" s="19"/>
      <c r="C6" s="20"/>
      <c r="D6" s="236"/>
      <c r="E6" s="20"/>
      <c r="F6" s="20"/>
      <c r="G6" s="20"/>
      <c r="H6" s="20"/>
      <c r="I6" s="20"/>
      <c r="J6" s="20"/>
      <c r="K6" s="20"/>
      <c r="L6" s="29"/>
      <c r="M6" s="29"/>
      <c r="N6" s="29"/>
      <c r="O6" s="29"/>
      <c r="P6" s="34"/>
      <c r="Q6" s="19"/>
      <c r="R6" s="19"/>
      <c r="S6" s="21"/>
    </row>
    <row r="7" spans="1:19" ht="11.25">
      <c r="A7" s="29" t="s">
        <v>1529</v>
      </c>
      <c r="B7" s="19" t="s">
        <v>181</v>
      </c>
      <c r="C7" s="20">
        <v>77000</v>
      </c>
      <c r="D7" s="236">
        <v>1.14</v>
      </c>
      <c r="E7" s="20">
        <f>C7*D7</f>
        <v>87779.99999999999</v>
      </c>
      <c r="F7" s="20"/>
      <c r="G7" s="20">
        <f>E7+F7</f>
        <v>87779.99999999999</v>
      </c>
      <c r="H7" s="20">
        <v>87800</v>
      </c>
      <c r="I7" s="20">
        <v>83700</v>
      </c>
      <c r="J7" s="20"/>
      <c r="K7" s="20">
        <v>83700</v>
      </c>
      <c r="L7" s="29" t="s">
        <v>1529</v>
      </c>
      <c r="M7" s="29" t="s">
        <v>1485</v>
      </c>
      <c r="N7" s="29"/>
      <c r="O7" s="29"/>
      <c r="P7" s="34">
        <v>40179</v>
      </c>
      <c r="Q7" s="19"/>
      <c r="R7" s="19"/>
      <c r="S7" s="21"/>
    </row>
    <row r="8" spans="1:19" ht="11.25">
      <c r="A8" s="29"/>
      <c r="B8" s="19"/>
      <c r="C8" s="20"/>
      <c r="D8" s="236"/>
      <c r="E8" s="20"/>
      <c r="F8" s="20"/>
      <c r="G8" s="20"/>
      <c r="H8" s="20"/>
      <c r="I8" s="20"/>
      <c r="J8" s="20"/>
      <c r="K8" s="20"/>
      <c r="L8" s="29"/>
      <c r="M8" s="29"/>
      <c r="N8" s="29"/>
      <c r="O8" s="29"/>
      <c r="P8" s="34"/>
      <c r="Q8" s="19"/>
      <c r="R8" s="19"/>
      <c r="S8" s="21"/>
    </row>
    <row r="9" spans="1:19" ht="11.25">
      <c r="A9" s="29"/>
      <c r="B9" s="19"/>
      <c r="C9" s="20"/>
      <c r="D9" s="236"/>
      <c r="E9" s="20"/>
      <c r="F9" s="20"/>
      <c r="G9" s="20"/>
      <c r="H9" s="20"/>
      <c r="I9" s="20"/>
      <c r="J9" s="20"/>
      <c r="K9" s="20"/>
      <c r="L9" s="29"/>
      <c r="M9" s="29"/>
      <c r="N9" s="29"/>
      <c r="O9" s="29"/>
      <c r="P9" s="34"/>
      <c r="Q9" s="19"/>
      <c r="R9" s="19"/>
      <c r="S9" s="21"/>
    </row>
    <row r="10" spans="1:19" ht="11.25">
      <c r="A10" s="29"/>
      <c r="B10" s="19"/>
      <c r="C10" s="20"/>
      <c r="D10" s="236"/>
      <c r="E10" s="20"/>
      <c r="F10" s="20"/>
      <c r="G10" s="20"/>
      <c r="H10" s="20"/>
      <c r="I10" s="20"/>
      <c r="J10" s="20"/>
      <c r="K10" s="20"/>
      <c r="L10" s="29"/>
      <c r="M10" s="29"/>
      <c r="N10" s="29"/>
      <c r="O10" s="29"/>
      <c r="P10" s="34"/>
      <c r="Q10" s="19"/>
      <c r="R10" s="19"/>
      <c r="S10" s="21"/>
    </row>
    <row r="11" spans="1:19" s="24" customFormat="1" ht="11.25">
      <c r="A11" s="32" t="s">
        <v>1681</v>
      </c>
      <c r="B11" s="22"/>
      <c r="C11" s="23"/>
      <c r="D11" s="238"/>
      <c r="E11" s="23"/>
      <c r="F11" s="23"/>
      <c r="G11" s="23"/>
      <c r="H11" s="23">
        <f>SUM(H7:H10)</f>
        <v>87800</v>
      </c>
      <c r="I11" s="33">
        <f>SUM(I7:I10)</f>
        <v>83700</v>
      </c>
      <c r="J11" s="33">
        <f>SUM(J7:J10)</f>
        <v>0</v>
      </c>
      <c r="K11" s="33">
        <f>SUM(K7:K10)</f>
        <v>83700</v>
      </c>
      <c r="L11" s="32" t="s">
        <v>1681</v>
      </c>
      <c r="M11" s="32"/>
      <c r="N11" s="32"/>
      <c r="O11" s="32"/>
      <c r="P11" s="36"/>
      <c r="Q11" s="22"/>
      <c r="R11" s="22"/>
      <c r="S11" s="33">
        <f>SUM(S7:S10)</f>
        <v>0</v>
      </c>
    </row>
    <row r="12" spans="1:19" ht="11.25">
      <c r="A12" s="29"/>
      <c r="B12" s="19"/>
      <c r="C12" s="20"/>
      <c r="D12" s="236"/>
      <c r="E12" s="20"/>
      <c r="F12" s="20"/>
      <c r="G12" s="20"/>
      <c r="H12" s="20"/>
      <c r="I12" s="20"/>
      <c r="J12" s="20"/>
      <c r="K12" s="20"/>
      <c r="L12" s="29"/>
      <c r="M12" s="29"/>
      <c r="N12" s="29"/>
      <c r="O12" s="29"/>
      <c r="P12" s="34"/>
      <c r="Q12" s="19"/>
      <c r="R12" s="19"/>
      <c r="S12" s="21"/>
    </row>
    <row r="13" spans="1:19" ht="11.25">
      <c r="A13" s="29" t="s">
        <v>183</v>
      </c>
      <c r="B13" s="19" t="s">
        <v>1528</v>
      </c>
      <c r="C13" s="20">
        <v>122000</v>
      </c>
      <c r="D13" s="236">
        <v>1.035</v>
      </c>
      <c r="E13" s="20">
        <f>D13*C13</f>
        <v>126269.99999999999</v>
      </c>
      <c r="F13" s="20"/>
      <c r="G13" s="20">
        <f>E13+F13</f>
        <v>126269.99999999999</v>
      </c>
      <c r="H13" s="20">
        <v>126300</v>
      </c>
      <c r="I13" s="20">
        <v>119200</v>
      </c>
      <c r="J13" s="20">
        <v>0</v>
      </c>
      <c r="K13" s="20">
        <v>119200</v>
      </c>
      <c r="L13" s="29" t="s">
        <v>183</v>
      </c>
      <c r="M13" s="29" t="s">
        <v>654</v>
      </c>
      <c r="N13" s="29"/>
      <c r="O13" s="29"/>
      <c r="P13" s="34">
        <v>39814</v>
      </c>
      <c r="Q13" s="19" t="s">
        <v>240</v>
      </c>
      <c r="R13" s="34">
        <v>46600</v>
      </c>
      <c r="S13" s="21"/>
    </row>
    <row r="14" spans="1:19" ht="11.25">
      <c r="A14" s="29"/>
      <c r="B14" s="19"/>
      <c r="C14" s="20"/>
      <c r="D14" s="236"/>
      <c r="E14" s="20"/>
      <c r="F14" s="20"/>
      <c r="G14" s="20"/>
      <c r="H14" s="20"/>
      <c r="I14" s="20"/>
      <c r="J14" s="20"/>
      <c r="K14" s="20"/>
      <c r="L14" s="29"/>
      <c r="M14" s="29"/>
      <c r="N14" s="29"/>
      <c r="O14" s="29"/>
      <c r="P14" s="34"/>
      <c r="Q14" s="19"/>
      <c r="R14" s="19"/>
      <c r="S14" s="21"/>
    </row>
    <row r="15" spans="1:19" s="24" customFormat="1" ht="11.25">
      <c r="A15" s="32" t="s">
        <v>1521</v>
      </c>
      <c r="B15" s="22"/>
      <c r="C15" s="23"/>
      <c r="D15" s="238"/>
      <c r="E15" s="23"/>
      <c r="F15" s="23"/>
      <c r="G15" s="23"/>
      <c r="H15" s="23">
        <f>SUM(H13:H14)</f>
        <v>126300</v>
      </c>
      <c r="I15" s="23">
        <f>SUM(I13:I14)</f>
        <v>119200</v>
      </c>
      <c r="J15" s="23">
        <f>SUM(J13:J14)</f>
        <v>0</v>
      </c>
      <c r="K15" s="23">
        <f>SUM(K13:K14)</f>
        <v>119200</v>
      </c>
      <c r="L15" s="32" t="s">
        <v>1521</v>
      </c>
      <c r="M15" s="32"/>
      <c r="N15" s="32"/>
      <c r="O15" s="32"/>
      <c r="P15" s="36"/>
      <c r="Q15" s="22"/>
      <c r="R15" s="22"/>
      <c r="S15" s="33">
        <v>0</v>
      </c>
    </row>
    <row r="16" spans="1:19" ht="11.25">
      <c r="A16" s="29"/>
      <c r="B16" s="19"/>
      <c r="C16" s="20"/>
      <c r="D16" s="236"/>
      <c r="E16" s="20"/>
      <c r="F16" s="20"/>
      <c r="G16" s="20"/>
      <c r="H16" s="20"/>
      <c r="I16" s="20"/>
      <c r="J16" s="20"/>
      <c r="K16" s="20"/>
      <c r="L16" s="29"/>
      <c r="M16" s="29"/>
      <c r="N16" s="29"/>
      <c r="O16" s="29"/>
      <c r="P16" s="34"/>
      <c r="Q16" s="19"/>
      <c r="R16" s="19"/>
      <c r="S16" s="21"/>
    </row>
    <row r="17" spans="1:19" ht="11.25">
      <c r="A17" s="29" t="s">
        <v>1522</v>
      </c>
      <c r="B17" s="19" t="s">
        <v>783</v>
      </c>
      <c r="C17" s="20">
        <v>69000</v>
      </c>
      <c r="D17" s="236">
        <v>1.2175</v>
      </c>
      <c r="E17" s="20">
        <f>D17*C17</f>
        <v>84007.5</v>
      </c>
      <c r="F17" s="20"/>
      <c r="G17" s="20">
        <f>E17+F17</f>
        <v>84007.5</v>
      </c>
      <c r="H17" s="20">
        <v>84000</v>
      </c>
      <c r="I17" s="20">
        <v>79700</v>
      </c>
      <c r="J17" s="20"/>
      <c r="K17" s="20">
        <v>79700</v>
      </c>
      <c r="L17" s="29" t="s">
        <v>1522</v>
      </c>
      <c r="M17" s="29" t="s">
        <v>1485</v>
      </c>
      <c r="N17" s="29"/>
      <c r="O17" s="29"/>
      <c r="P17" s="34">
        <v>40179</v>
      </c>
      <c r="Q17" s="19" t="s">
        <v>659</v>
      </c>
      <c r="R17" s="76">
        <v>41890</v>
      </c>
      <c r="S17" s="21">
        <v>0</v>
      </c>
    </row>
    <row r="18" spans="1:19" ht="11.25">
      <c r="A18" s="29" t="s">
        <v>1523</v>
      </c>
      <c r="B18" s="19" t="s">
        <v>784</v>
      </c>
      <c r="C18" s="20">
        <v>79000</v>
      </c>
      <c r="D18" s="236">
        <v>1.1875</v>
      </c>
      <c r="E18" s="20">
        <f>D18*C18</f>
        <v>93812.5</v>
      </c>
      <c r="F18" s="20"/>
      <c r="G18" s="20">
        <f>E18+F18</f>
        <v>93812.5</v>
      </c>
      <c r="H18" s="20">
        <v>93800</v>
      </c>
      <c r="I18" s="20">
        <v>89400</v>
      </c>
      <c r="J18" s="20"/>
      <c r="K18" s="20">
        <v>89400</v>
      </c>
      <c r="L18" s="29" t="s">
        <v>1523</v>
      </c>
      <c r="M18" s="29" t="s">
        <v>1485</v>
      </c>
      <c r="N18" s="29"/>
      <c r="O18" s="29"/>
      <c r="P18" s="34">
        <v>40179</v>
      </c>
      <c r="Q18" s="19" t="s">
        <v>240</v>
      </c>
      <c r="R18" s="76">
        <v>40691</v>
      </c>
      <c r="S18" s="21"/>
    </row>
    <row r="19" spans="1:19" ht="11.25">
      <c r="A19" s="29" t="s">
        <v>1524</v>
      </c>
      <c r="B19" s="19" t="s">
        <v>785</v>
      </c>
      <c r="C19" s="20">
        <v>69000</v>
      </c>
      <c r="D19" s="236">
        <v>1.195</v>
      </c>
      <c r="E19" s="20">
        <f>D19*C19</f>
        <v>82455</v>
      </c>
      <c r="F19" s="20"/>
      <c r="G19" s="20">
        <f>E19+F19</f>
        <v>82455</v>
      </c>
      <c r="H19" s="20">
        <v>82500</v>
      </c>
      <c r="I19" s="20">
        <v>78100</v>
      </c>
      <c r="J19" s="20"/>
      <c r="K19" s="20">
        <v>78100</v>
      </c>
      <c r="L19" s="29" t="s">
        <v>1524</v>
      </c>
      <c r="M19" s="29" t="s">
        <v>1485</v>
      </c>
      <c r="N19" s="29"/>
      <c r="O19" s="29"/>
      <c r="P19" s="34">
        <v>39814</v>
      </c>
      <c r="Q19" s="19" t="s">
        <v>659</v>
      </c>
      <c r="R19" s="76">
        <v>42648</v>
      </c>
      <c r="S19" s="21"/>
    </row>
    <row r="20" spans="1:19" ht="11.25">
      <c r="A20" s="29" t="s">
        <v>1525</v>
      </c>
      <c r="B20" s="19" t="s">
        <v>895</v>
      </c>
      <c r="C20" s="20">
        <v>77000</v>
      </c>
      <c r="D20" s="236">
        <v>1.2775</v>
      </c>
      <c r="E20" s="20">
        <f>D20*C20</f>
        <v>98367.5</v>
      </c>
      <c r="F20" s="20"/>
      <c r="G20" s="20">
        <f>E20+F20</f>
        <v>98367.5</v>
      </c>
      <c r="H20" s="20">
        <v>98400</v>
      </c>
      <c r="I20" s="20">
        <v>93600</v>
      </c>
      <c r="J20" s="20"/>
      <c r="K20" s="20">
        <v>93600</v>
      </c>
      <c r="L20" s="29" t="s">
        <v>1525</v>
      </c>
      <c r="M20" s="29" t="s">
        <v>1485</v>
      </c>
      <c r="N20" s="29"/>
      <c r="O20" s="29"/>
      <c r="P20" s="34">
        <v>40179</v>
      </c>
      <c r="Q20" s="19" t="s">
        <v>659</v>
      </c>
      <c r="R20" s="76">
        <v>41971</v>
      </c>
      <c r="S20" s="21"/>
    </row>
    <row r="21" spans="1:19" ht="11.25">
      <c r="A21" s="29" t="s">
        <v>184</v>
      </c>
      <c r="B21" s="19" t="s">
        <v>786</v>
      </c>
      <c r="C21" s="20">
        <v>77000</v>
      </c>
      <c r="D21" s="236">
        <v>1.07</v>
      </c>
      <c r="E21" s="20">
        <f>D21*C21</f>
        <v>82390</v>
      </c>
      <c r="F21" s="20"/>
      <c r="G21" s="20">
        <f>E21+F21</f>
        <v>82390</v>
      </c>
      <c r="H21" s="20">
        <v>82400</v>
      </c>
      <c r="I21" s="20">
        <v>76200</v>
      </c>
      <c r="J21" s="20"/>
      <c r="K21" s="20">
        <v>76200</v>
      </c>
      <c r="L21" s="29" t="s">
        <v>184</v>
      </c>
      <c r="M21" s="29" t="s">
        <v>1485</v>
      </c>
      <c r="N21" s="29"/>
      <c r="O21" s="29"/>
      <c r="P21" s="34">
        <v>39814</v>
      </c>
      <c r="Q21" s="19" t="s">
        <v>240</v>
      </c>
      <c r="R21" s="76">
        <v>43607</v>
      </c>
      <c r="S21" s="21"/>
    </row>
    <row r="22" spans="1:19" ht="11.25">
      <c r="A22" s="29"/>
      <c r="B22" s="19"/>
      <c r="C22" s="20"/>
      <c r="D22" s="236"/>
      <c r="E22" s="20"/>
      <c r="F22" s="20"/>
      <c r="G22" s="20"/>
      <c r="H22" s="20"/>
      <c r="I22" s="20"/>
      <c r="J22" s="20"/>
      <c r="K22" s="20"/>
      <c r="L22" s="29"/>
      <c r="M22" s="29"/>
      <c r="N22" s="29"/>
      <c r="O22" s="29"/>
      <c r="P22" s="34"/>
      <c r="Q22" s="19"/>
      <c r="R22" s="19"/>
      <c r="S22" s="21"/>
    </row>
    <row r="23" spans="1:19" s="24" customFormat="1" ht="11.25">
      <c r="A23" s="32" t="s">
        <v>1526</v>
      </c>
      <c r="B23" s="22"/>
      <c r="C23" s="23"/>
      <c r="D23" s="238"/>
      <c r="E23" s="23"/>
      <c r="F23" s="23"/>
      <c r="G23" s="23"/>
      <c r="H23" s="23">
        <f>SUM(H17:H21)</f>
        <v>441100</v>
      </c>
      <c r="I23" s="23">
        <f>SUM(I17:I22)</f>
        <v>417000</v>
      </c>
      <c r="J23" s="23">
        <f>SUM(J17:J22)</f>
        <v>0</v>
      </c>
      <c r="K23" s="23">
        <f>SUM(K17:K22)</f>
        <v>417000</v>
      </c>
      <c r="L23" s="32" t="s">
        <v>1526</v>
      </c>
      <c r="M23" s="32"/>
      <c r="N23" s="32"/>
      <c r="O23" s="32"/>
      <c r="P23" s="36"/>
      <c r="Q23" s="22"/>
      <c r="R23" s="22"/>
      <c r="S23" s="33">
        <f>SUM(S17:S22)</f>
        <v>0</v>
      </c>
    </row>
    <row r="24" spans="1:19" ht="11.25">
      <c r="A24" s="29"/>
      <c r="B24" s="19"/>
      <c r="C24" s="20"/>
      <c r="D24" s="236"/>
      <c r="E24" s="20"/>
      <c r="F24" s="20"/>
      <c r="G24" s="20"/>
      <c r="H24" s="20"/>
      <c r="I24" s="20"/>
      <c r="J24" s="21"/>
      <c r="K24" s="20"/>
      <c r="L24" s="29"/>
      <c r="M24" s="29"/>
      <c r="N24" s="29"/>
      <c r="O24" s="29"/>
      <c r="P24" s="34"/>
      <c r="Q24" s="19"/>
      <c r="R24" s="19"/>
      <c r="S24" s="21"/>
    </row>
    <row r="25" spans="1:19" ht="11.25">
      <c r="A25" s="29" t="s">
        <v>119</v>
      </c>
      <c r="B25" s="19" t="s">
        <v>196</v>
      </c>
      <c r="C25" s="20">
        <v>122000</v>
      </c>
      <c r="D25" s="236">
        <v>1.1475</v>
      </c>
      <c r="E25" s="20">
        <f>D25*C25</f>
        <v>139995</v>
      </c>
      <c r="F25" s="20"/>
      <c r="G25" s="20">
        <f>SUM(E25:F25)</f>
        <v>139995</v>
      </c>
      <c r="H25" s="20">
        <v>140000</v>
      </c>
      <c r="I25" s="20">
        <v>64200</v>
      </c>
      <c r="J25" s="20"/>
      <c r="K25" s="21">
        <v>64200</v>
      </c>
      <c r="L25" s="29" t="s">
        <v>119</v>
      </c>
      <c r="M25" s="29" t="s">
        <v>1485</v>
      </c>
      <c r="N25" s="29"/>
      <c r="O25" s="29"/>
      <c r="P25" s="34">
        <v>40544</v>
      </c>
      <c r="Q25" s="19"/>
      <c r="R25" s="19"/>
      <c r="S25" s="21"/>
    </row>
    <row r="26" spans="1:19" ht="11.25">
      <c r="A26" s="29"/>
      <c r="B26" s="19"/>
      <c r="C26" s="20"/>
      <c r="D26" s="236"/>
      <c r="E26" s="20"/>
      <c r="F26" s="20"/>
      <c r="G26" s="20"/>
      <c r="H26" s="20"/>
      <c r="I26" s="20"/>
      <c r="J26" s="20"/>
      <c r="K26" s="21"/>
      <c r="L26" s="29"/>
      <c r="M26" s="29"/>
      <c r="N26" s="29"/>
      <c r="O26" s="29"/>
      <c r="P26" s="34"/>
      <c r="Q26" s="19"/>
      <c r="R26" s="19"/>
      <c r="S26" s="21"/>
    </row>
    <row r="27" spans="1:19" s="81" customFormat="1" ht="11.25">
      <c r="A27" s="32" t="s">
        <v>185</v>
      </c>
      <c r="B27" s="22"/>
      <c r="C27" s="23"/>
      <c r="D27" s="238"/>
      <c r="E27" s="23"/>
      <c r="F27" s="23"/>
      <c r="G27" s="23"/>
      <c r="H27" s="23">
        <f>SUM(H25:H26)</f>
        <v>140000</v>
      </c>
      <c r="I27" s="23">
        <f>SUM(I25:I26)</f>
        <v>64200</v>
      </c>
      <c r="J27" s="23"/>
      <c r="K27" s="23">
        <f>SUM(K25:K26)</f>
        <v>64200</v>
      </c>
      <c r="L27" s="32" t="s">
        <v>185</v>
      </c>
      <c r="M27" s="32"/>
      <c r="N27" s="32"/>
      <c r="O27" s="32"/>
      <c r="P27" s="36"/>
      <c r="Q27" s="22"/>
      <c r="R27" s="22"/>
      <c r="S27" s="33"/>
    </row>
    <row r="28" spans="1:19" ht="11.25">
      <c r="A28" s="29"/>
      <c r="B28" s="19"/>
      <c r="C28" s="20"/>
      <c r="D28" s="236"/>
      <c r="E28" s="20"/>
      <c r="F28" s="20"/>
      <c r="G28" s="20"/>
      <c r="H28" s="20"/>
      <c r="I28" s="20"/>
      <c r="J28" s="20"/>
      <c r="K28" s="21"/>
      <c r="L28" s="29"/>
      <c r="M28" s="29"/>
      <c r="N28" s="29"/>
      <c r="O28" s="29"/>
      <c r="P28" s="34"/>
      <c r="Q28" s="19"/>
      <c r="R28" s="19"/>
      <c r="S28" s="21"/>
    </row>
    <row r="29" spans="1:19" ht="11.25">
      <c r="A29" s="29"/>
      <c r="B29" s="19"/>
      <c r="C29" s="20"/>
      <c r="D29" s="236"/>
      <c r="E29" s="20"/>
      <c r="F29" s="20"/>
      <c r="G29" s="20"/>
      <c r="H29" s="20"/>
      <c r="I29" s="20"/>
      <c r="J29" s="20"/>
      <c r="K29" s="21"/>
      <c r="L29" s="29"/>
      <c r="M29" s="29"/>
      <c r="N29" s="29"/>
      <c r="O29" s="29"/>
      <c r="P29" s="34"/>
      <c r="Q29" s="19"/>
      <c r="R29" s="19"/>
      <c r="S29" s="21"/>
    </row>
    <row r="30" spans="1:19" ht="11.25">
      <c r="A30" s="266"/>
      <c r="B30" s="267"/>
      <c r="C30" s="268"/>
      <c r="D30" s="269"/>
      <c r="E30" s="268"/>
      <c r="F30" s="268"/>
      <c r="G30" s="268"/>
      <c r="H30" s="268"/>
      <c r="I30" s="268"/>
      <c r="J30" s="268"/>
      <c r="K30" s="270"/>
      <c r="L30" s="266"/>
      <c r="M30" s="266"/>
      <c r="N30" s="266"/>
      <c r="O30" s="266"/>
      <c r="P30" s="271"/>
      <c r="Q30" s="267"/>
      <c r="R30" s="267"/>
      <c r="S30" s="270"/>
    </row>
  </sheetData>
  <sheetProtection/>
  <mergeCells count="20">
    <mergeCell ref="A1:A4"/>
    <mergeCell ref="H2:H4"/>
    <mergeCell ref="B1:B4"/>
    <mergeCell ref="C1:C4"/>
    <mergeCell ref="D1:D4"/>
    <mergeCell ref="E2:E4"/>
    <mergeCell ref="F2:F4"/>
    <mergeCell ref="G2:G4"/>
    <mergeCell ref="R1:R4"/>
    <mergeCell ref="S1:S4"/>
    <mergeCell ref="K1:K4"/>
    <mergeCell ref="M1:M4"/>
    <mergeCell ref="O1:O4"/>
    <mergeCell ref="P1:P4"/>
    <mergeCell ref="Q1:Q4"/>
    <mergeCell ref="I1:I4"/>
    <mergeCell ref="E1:H1"/>
    <mergeCell ref="L1:L4"/>
    <mergeCell ref="N1:N4"/>
    <mergeCell ref="J1:J4"/>
  </mergeCells>
  <printOptions horizontalCentered="1"/>
  <pageMargins left="0.25" right="0.31496062992125984" top="0.87" bottom="0.4330708661417323" header="0.22" footer="0.2755905511811024"/>
  <pageSetup horizontalDpi="600" verticalDpi="600" orientation="landscape" paperSize="9" r:id="rId1"/>
  <headerFooter alignWithMargins="0">
    <oddHeader>&amp;C
&amp;"Arial,Félkövér dőlt"KIMUTATÁS A KÖZALKALMAZOTTI BÉREK SZÁMÍTÁSÁHOZ&amp;R&amp;"Arial,Dőlt"&amp;8 9.számú melléklet</oddHeader>
    <oddFooter>&amp;C&amp;"Arial,Dőlt"&amp;8&amp;P. oldal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pane xSplit="1" ySplit="7" topLeftCell="S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3" sqref="G23"/>
    </sheetView>
  </sheetViews>
  <sheetFormatPr defaultColWidth="9.00390625" defaultRowHeight="12.75"/>
  <cols>
    <col min="1" max="1" width="21.625" style="37" customWidth="1"/>
    <col min="2" max="2" width="9.125" style="37" customWidth="1"/>
    <col min="3" max="3" width="8.625" style="54" customWidth="1"/>
    <col min="4" max="4" width="13.875" style="55" customWidth="1"/>
    <col min="5" max="5" width="13.625" style="55" customWidth="1"/>
    <col min="6" max="7" width="12.625" style="55" customWidth="1"/>
    <col min="8" max="8" width="10.00390625" style="55" customWidth="1"/>
    <col min="9" max="12" width="10.00390625" style="37" customWidth="1"/>
    <col min="13" max="13" width="20.375" style="37" bestFit="1" customWidth="1"/>
    <col min="14" max="14" width="12.375" style="37" customWidth="1"/>
    <col min="15" max="15" width="14.75390625" style="37" customWidth="1"/>
    <col min="16" max="16" width="15.75390625" style="37" customWidth="1"/>
    <col min="17" max="17" width="10.875" style="37" customWidth="1"/>
    <col min="18" max="18" width="9.375" style="37" bestFit="1" customWidth="1"/>
    <col min="19" max="19" width="9.125" style="37" customWidth="1"/>
    <col min="20" max="20" width="14.625" style="37" customWidth="1"/>
    <col min="21" max="16384" width="9.125" style="37" customWidth="1"/>
  </cols>
  <sheetData>
    <row r="1" spans="1:21" ht="12" customHeight="1">
      <c r="A1" s="356" t="s">
        <v>220</v>
      </c>
      <c r="B1" s="518" t="s">
        <v>1470</v>
      </c>
      <c r="C1" s="506"/>
      <c r="D1" s="506"/>
      <c r="E1" s="506"/>
      <c r="F1" s="506"/>
      <c r="G1" s="506"/>
      <c r="H1" s="506"/>
      <c r="I1" s="506"/>
      <c r="J1" s="506"/>
      <c r="K1" s="506"/>
      <c r="L1" s="507"/>
      <c r="M1" s="356" t="s">
        <v>220</v>
      </c>
      <c r="N1" s="360" t="s">
        <v>1487</v>
      </c>
      <c r="O1" s="426" t="s">
        <v>1471</v>
      </c>
      <c r="P1" s="426" t="s">
        <v>952</v>
      </c>
      <c r="Q1" s="515" t="s">
        <v>229</v>
      </c>
      <c r="R1" s="426" t="s">
        <v>230</v>
      </c>
      <c r="S1" s="426" t="s">
        <v>231</v>
      </c>
      <c r="T1" s="426" t="s">
        <v>232</v>
      </c>
      <c r="U1" s="514" t="s">
        <v>233</v>
      </c>
    </row>
    <row r="2" spans="1:21" ht="12.75" customHeight="1">
      <c r="A2" s="456"/>
      <c r="B2" s="426" t="s">
        <v>221</v>
      </c>
      <c r="C2" s="430" t="s">
        <v>222</v>
      </c>
      <c r="D2" s="510" t="s">
        <v>223</v>
      </c>
      <c r="E2" s="360" t="s">
        <v>224</v>
      </c>
      <c r="F2" s="360" t="s">
        <v>225</v>
      </c>
      <c r="G2" s="510" t="s">
        <v>226</v>
      </c>
      <c r="H2" s="360" t="s">
        <v>227</v>
      </c>
      <c r="I2" s="505" t="s">
        <v>228</v>
      </c>
      <c r="J2" s="506"/>
      <c r="K2" s="506"/>
      <c r="L2" s="507"/>
      <c r="M2" s="353"/>
      <c r="N2" s="354"/>
      <c r="O2" s="425"/>
      <c r="P2" s="425"/>
      <c r="Q2" s="516"/>
      <c r="R2" s="425"/>
      <c r="S2" s="425"/>
      <c r="T2" s="425"/>
      <c r="U2" s="372"/>
    </row>
    <row r="3" spans="1:21" ht="12" customHeight="1">
      <c r="A3" s="456"/>
      <c r="B3" s="508"/>
      <c r="C3" s="508"/>
      <c r="D3" s="511"/>
      <c r="E3" s="508"/>
      <c r="F3" s="508"/>
      <c r="G3" s="511"/>
      <c r="H3" s="508"/>
      <c r="I3" s="425" t="s">
        <v>234</v>
      </c>
      <c r="J3" s="425" t="s">
        <v>235</v>
      </c>
      <c r="K3" s="425" t="s">
        <v>236</v>
      </c>
      <c r="L3" s="425" t="s">
        <v>237</v>
      </c>
      <c r="M3" s="353"/>
      <c r="N3" s="354"/>
      <c r="O3" s="425"/>
      <c r="P3" s="425"/>
      <c r="Q3" s="516"/>
      <c r="R3" s="425"/>
      <c r="S3" s="425"/>
      <c r="T3" s="425"/>
      <c r="U3" s="372"/>
    </row>
    <row r="4" spans="1:21" ht="12" customHeight="1">
      <c r="A4" s="456"/>
      <c r="B4" s="508"/>
      <c r="C4" s="508"/>
      <c r="D4" s="511"/>
      <c r="E4" s="508"/>
      <c r="F4" s="508"/>
      <c r="G4" s="511"/>
      <c r="H4" s="508"/>
      <c r="I4" s="508"/>
      <c r="J4" s="508"/>
      <c r="K4" s="508"/>
      <c r="L4" s="508"/>
      <c r="M4" s="353"/>
      <c r="N4" s="354"/>
      <c r="O4" s="425"/>
      <c r="P4" s="425"/>
      <c r="Q4" s="516"/>
      <c r="R4" s="425"/>
      <c r="S4" s="425"/>
      <c r="T4" s="425"/>
      <c r="U4" s="372"/>
    </row>
    <row r="5" spans="1:21" ht="12" customHeight="1">
      <c r="A5" s="456"/>
      <c r="B5" s="508"/>
      <c r="C5" s="508"/>
      <c r="D5" s="511"/>
      <c r="E5" s="508"/>
      <c r="F5" s="508"/>
      <c r="G5" s="511"/>
      <c r="H5" s="508"/>
      <c r="I5" s="508"/>
      <c r="J5" s="508"/>
      <c r="K5" s="508"/>
      <c r="L5" s="508"/>
      <c r="M5" s="353"/>
      <c r="N5" s="354"/>
      <c r="O5" s="425"/>
      <c r="P5" s="425"/>
      <c r="Q5" s="516"/>
      <c r="R5" s="425"/>
      <c r="S5" s="425"/>
      <c r="T5" s="425"/>
      <c r="U5" s="372"/>
    </row>
    <row r="6" spans="1:21" ht="12" customHeight="1">
      <c r="A6" s="456"/>
      <c r="B6" s="508"/>
      <c r="C6" s="508"/>
      <c r="D6" s="511"/>
      <c r="E6" s="508"/>
      <c r="F6" s="508"/>
      <c r="G6" s="511"/>
      <c r="H6" s="508"/>
      <c r="I6" s="508"/>
      <c r="J6" s="508"/>
      <c r="K6" s="508"/>
      <c r="L6" s="508"/>
      <c r="M6" s="353"/>
      <c r="N6" s="354"/>
      <c r="O6" s="425"/>
      <c r="P6" s="425"/>
      <c r="Q6" s="516"/>
      <c r="R6" s="425"/>
      <c r="S6" s="425"/>
      <c r="T6" s="425"/>
      <c r="U6" s="372"/>
    </row>
    <row r="7" spans="1:21" ht="12.75" customHeight="1" thickBot="1">
      <c r="A7" s="457"/>
      <c r="B7" s="509"/>
      <c r="C7" s="509"/>
      <c r="D7" s="512"/>
      <c r="E7" s="509"/>
      <c r="F7" s="509"/>
      <c r="G7" s="512"/>
      <c r="H7" s="509"/>
      <c r="I7" s="509"/>
      <c r="J7" s="509"/>
      <c r="K7" s="509"/>
      <c r="L7" s="509"/>
      <c r="M7" s="352"/>
      <c r="N7" s="355"/>
      <c r="O7" s="513"/>
      <c r="P7" s="513"/>
      <c r="Q7" s="517"/>
      <c r="R7" s="513"/>
      <c r="S7" s="513"/>
      <c r="T7" s="513"/>
      <c r="U7" s="373"/>
    </row>
    <row r="8" spans="1:21" ht="12.75" thickTop="1">
      <c r="A8" s="41"/>
      <c r="B8" s="38"/>
      <c r="C8" s="39"/>
      <c r="D8" s="40"/>
      <c r="E8" s="5"/>
      <c r="F8" s="5"/>
      <c r="G8" s="5"/>
      <c r="H8" s="5"/>
      <c r="I8" s="41"/>
      <c r="J8" s="41"/>
      <c r="K8" s="41"/>
      <c r="L8" s="42"/>
      <c r="M8" s="41"/>
      <c r="N8" s="5"/>
      <c r="O8" s="41"/>
      <c r="P8" s="43"/>
      <c r="Q8" s="43"/>
      <c r="R8" s="41"/>
      <c r="S8" s="41"/>
      <c r="T8" s="41"/>
      <c r="U8" s="44"/>
    </row>
    <row r="9" spans="1:21" ht="12">
      <c r="A9" s="41" t="s">
        <v>238</v>
      </c>
      <c r="B9" s="41"/>
      <c r="C9" s="45"/>
      <c r="D9" s="5">
        <v>38650</v>
      </c>
      <c r="E9" s="5"/>
      <c r="F9" s="5"/>
      <c r="G9" s="5"/>
      <c r="H9" s="5"/>
      <c r="I9" s="41"/>
      <c r="J9" s="41"/>
      <c r="K9" s="41"/>
      <c r="L9" s="42"/>
      <c r="M9" s="41"/>
      <c r="N9" s="5"/>
      <c r="O9" s="43"/>
      <c r="P9" s="43"/>
      <c r="Q9" s="43"/>
      <c r="R9" s="41"/>
      <c r="S9" s="43"/>
      <c r="T9" s="43"/>
      <c r="U9" s="44"/>
    </row>
    <row r="10" spans="1:21" ht="12">
      <c r="A10" s="41"/>
      <c r="B10" s="41"/>
      <c r="C10" s="45"/>
      <c r="D10" s="5"/>
      <c r="E10" s="5"/>
      <c r="F10" s="5"/>
      <c r="G10" s="5"/>
      <c r="H10" s="5"/>
      <c r="I10" s="41"/>
      <c r="J10" s="41"/>
      <c r="K10" s="41"/>
      <c r="L10" s="42"/>
      <c r="M10" s="41"/>
      <c r="N10" s="5"/>
      <c r="O10" s="43"/>
      <c r="P10" s="43"/>
      <c r="Q10" s="43"/>
      <c r="R10" s="41"/>
      <c r="S10" s="43"/>
      <c r="T10" s="43"/>
      <c r="U10" s="44"/>
    </row>
    <row r="11" spans="1:21" ht="12">
      <c r="A11" s="41" t="s">
        <v>708</v>
      </c>
      <c r="B11" s="43" t="s">
        <v>239</v>
      </c>
      <c r="C11" s="45">
        <v>6.25</v>
      </c>
      <c r="D11" s="5">
        <v>38650</v>
      </c>
      <c r="E11" s="5">
        <f>D11*C11</f>
        <v>241562.5</v>
      </c>
      <c r="F11" s="5"/>
      <c r="G11" s="5">
        <f>E11+F11</f>
        <v>241562.5</v>
      </c>
      <c r="H11" s="5"/>
      <c r="I11" s="46">
        <f>G11*10%</f>
        <v>24156.25</v>
      </c>
      <c r="J11" s="46">
        <f>G11*10%</f>
        <v>24156.25</v>
      </c>
      <c r="K11" s="41"/>
      <c r="L11" s="42"/>
      <c r="M11" s="41" t="s">
        <v>708</v>
      </c>
      <c r="N11" s="5">
        <f>(G11+H11+I11+J11+K11+L11)/12*12</f>
        <v>289875</v>
      </c>
      <c r="O11" s="47"/>
      <c r="P11" s="43"/>
      <c r="Q11" s="43"/>
      <c r="R11" s="5"/>
      <c r="S11" s="43"/>
      <c r="T11" s="43"/>
      <c r="U11" s="44"/>
    </row>
    <row r="12" spans="1:21" ht="12">
      <c r="A12" s="41"/>
      <c r="B12" s="43"/>
      <c r="C12" s="45"/>
      <c r="D12" s="5"/>
      <c r="E12" s="5"/>
      <c r="F12" s="5"/>
      <c r="G12" s="5"/>
      <c r="H12" s="5"/>
      <c r="I12" s="41"/>
      <c r="J12" s="41"/>
      <c r="K12" s="41"/>
      <c r="L12" s="42"/>
      <c r="M12" s="41"/>
      <c r="N12" s="5"/>
      <c r="O12" s="47"/>
      <c r="P12" s="43"/>
      <c r="Q12" s="47"/>
      <c r="R12" s="5"/>
      <c r="S12" s="43"/>
      <c r="T12" s="47"/>
      <c r="U12" s="44"/>
    </row>
    <row r="13" spans="1:21" ht="12">
      <c r="A13" s="41"/>
      <c r="B13" s="43"/>
      <c r="C13" s="45"/>
      <c r="D13" s="5"/>
      <c r="E13" s="5"/>
      <c r="F13" s="5"/>
      <c r="G13" s="5"/>
      <c r="H13" s="5"/>
      <c r="I13" s="41"/>
      <c r="J13" s="41"/>
      <c r="K13" s="41"/>
      <c r="L13" s="46"/>
      <c r="M13" s="41"/>
      <c r="N13" s="5"/>
      <c r="O13" s="47"/>
      <c r="P13" s="43"/>
      <c r="Q13" s="47"/>
      <c r="R13" s="5"/>
      <c r="S13" s="43"/>
      <c r="T13" s="47"/>
      <c r="U13" s="44"/>
    </row>
    <row r="14" spans="1:21" s="9" customFormat="1" ht="12">
      <c r="A14" s="2"/>
      <c r="B14" s="7"/>
      <c r="C14" s="3"/>
      <c r="D14" s="4"/>
      <c r="E14" s="4"/>
      <c r="F14" s="4"/>
      <c r="G14" s="4"/>
      <c r="H14" s="5"/>
      <c r="I14" s="2"/>
      <c r="J14" s="2"/>
      <c r="K14" s="2"/>
      <c r="L14" s="6"/>
      <c r="M14" s="2"/>
      <c r="N14" s="5"/>
      <c r="O14" s="10"/>
      <c r="P14" s="7"/>
      <c r="Q14" s="10"/>
      <c r="R14" s="5"/>
      <c r="S14" s="7"/>
      <c r="T14" s="10"/>
      <c r="U14" s="8"/>
    </row>
    <row r="15" spans="1:21" ht="12">
      <c r="A15" s="41"/>
      <c r="B15" s="41"/>
      <c r="C15" s="45"/>
      <c r="D15" s="5"/>
      <c r="E15" s="5"/>
      <c r="F15" s="5"/>
      <c r="G15" s="5"/>
      <c r="H15" s="5"/>
      <c r="I15" s="41"/>
      <c r="J15" s="41"/>
      <c r="K15" s="41"/>
      <c r="L15" s="42"/>
      <c r="M15" s="41"/>
      <c r="N15" s="5">
        <f>(G15+H15+I15+J15+K15+L15)/12*12</f>
        <v>0</v>
      </c>
      <c r="O15" s="43"/>
      <c r="P15" s="43"/>
      <c r="Q15" s="43"/>
      <c r="R15" s="5"/>
      <c r="S15" s="43"/>
      <c r="T15" s="43"/>
      <c r="U15" s="44"/>
    </row>
    <row r="16" spans="1:21" s="61" customFormat="1" ht="12">
      <c r="A16" s="56" t="s">
        <v>242</v>
      </c>
      <c r="B16" s="56"/>
      <c r="C16" s="57"/>
      <c r="D16" s="58"/>
      <c r="E16" s="58">
        <f aca="true" t="shared" si="0" ref="E16:L16">SUM(E11:E13)</f>
        <v>241562.5</v>
      </c>
      <c r="F16" s="58">
        <f t="shared" si="0"/>
        <v>0</v>
      </c>
      <c r="G16" s="58">
        <f t="shared" si="0"/>
        <v>241562.5</v>
      </c>
      <c r="H16" s="58">
        <f t="shared" si="0"/>
        <v>0</v>
      </c>
      <c r="I16" s="58">
        <f t="shared" si="0"/>
        <v>24156.25</v>
      </c>
      <c r="J16" s="58">
        <f t="shared" si="0"/>
        <v>24156.25</v>
      </c>
      <c r="K16" s="58">
        <f t="shared" si="0"/>
        <v>0</v>
      </c>
      <c r="L16" s="58">
        <f t="shared" si="0"/>
        <v>0</v>
      </c>
      <c r="M16" s="56" t="s">
        <v>242</v>
      </c>
      <c r="N16" s="58">
        <f>SUM(N11:N13)</f>
        <v>289875</v>
      </c>
      <c r="O16" s="60"/>
      <c r="P16" s="60"/>
      <c r="Q16" s="60"/>
      <c r="R16" s="58">
        <f>SUM(R11:R15)</f>
        <v>0</v>
      </c>
      <c r="S16" s="60"/>
      <c r="T16" s="60"/>
      <c r="U16" s="58">
        <f>SUM(U11:U15)</f>
        <v>0</v>
      </c>
    </row>
    <row r="17" spans="1:21" ht="12">
      <c r="A17" s="41"/>
      <c r="B17" s="41"/>
      <c r="C17" s="45"/>
      <c r="D17" s="5"/>
      <c r="E17" s="5"/>
      <c r="F17" s="5"/>
      <c r="G17" s="5"/>
      <c r="H17" s="5"/>
      <c r="I17" s="41"/>
      <c r="J17" s="41"/>
      <c r="K17" s="41"/>
      <c r="L17" s="42"/>
      <c r="M17" s="41"/>
      <c r="N17" s="5"/>
      <c r="O17" s="41"/>
      <c r="P17" s="41"/>
      <c r="Q17" s="41"/>
      <c r="R17" s="41"/>
      <c r="S17" s="41"/>
      <c r="T17" s="41"/>
      <c r="U17" s="44"/>
    </row>
    <row r="18" spans="1:21" ht="12">
      <c r="A18" s="41"/>
      <c r="B18" s="41"/>
      <c r="C18" s="45"/>
      <c r="D18" s="5"/>
      <c r="E18" s="5"/>
      <c r="F18" s="5"/>
      <c r="G18" s="5"/>
      <c r="H18" s="5"/>
      <c r="I18" s="41"/>
      <c r="J18" s="41"/>
      <c r="K18" s="41"/>
      <c r="L18" s="42"/>
      <c r="M18" s="41"/>
      <c r="N18" s="5"/>
      <c r="O18" s="41"/>
      <c r="P18" s="41"/>
      <c r="Q18" s="41"/>
      <c r="R18" s="41"/>
      <c r="S18" s="41"/>
      <c r="T18" s="41"/>
      <c r="U18" s="44"/>
    </row>
    <row r="19" spans="1:21" ht="12">
      <c r="A19" s="41"/>
      <c r="B19" s="41"/>
      <c r="C19" s="45"/>
      <c r="D19" s="5"/>
      <c r="E19" s="5"/>
      <c r="F19" s="5"/>
      <c r="G19" s="5"/>
      <c r="H19" s="5"/>
      <c r="I19" s="41"/>
      <c r="J19" s="41"/>
      <c r="K19" s="41"/>
      <c r="L19" s="42"/>
      <c r="M19" s="41"/>
      <c r="N19" s="5"/>
      <c r="O19" s="41"/>
      <c r="P19" s="41"/>
      <c r="Q19" s="41"/>
      <c r="R19" s="41"/>
      <c r="S19" s="41"/>
      <c r="T19" s="41"/>
      <c r="U19" s="44"/>
    </row>
    <row r="20" spans="1:21" ht="12">
      <c r="A20" s="49"/>
      <c r="B20" s="49"/>
      <c r="C20" s="50"/>
      <c r="D20" s="51"/>
      <c r="E20" s="51"/>
      <c r="F20" s="51"/>
      <c r="G20" s="51"/>
      <c r="H20" s="51"/>
      <c r="I20" s="49"/>
      <c r="J20" s="49"/>
      <c r="K20" s="49"/>
      <c r="L20" s="52"/>
      <c r="M20" s="49"/>
      <c r="N20" s="51"/>
      <c r="O20" s="49"/>
      <c r="P20" s="49"/>
      <c r="Q20" s="49"/>
      <c r="R20" s="49"/>
      <c r="S20" s="49"/>
      <c r="T20" s="49"/>
      <c r="U20" s="53"/>
    </row>
  </sheetData>
  <sheetProtection/>
  <mergeCells count="23">
    <mergeCell ref="G2:G7"/>
    <mergeCell ref="H2:H7"/>
    <mergeCell ref="B1:L1"/>
    <mergeCell ref="F2:F7"/>
    <mergeCell ref="T1:T7"/>
    <mergeCell ref="U1:U7"/>
    <mergeCell ref="M1:M7"/>
    <mergeCell ref="N1:N7"/>
    <mergeCell ref="O1:O7"/>
    <mergeCell ref="P1:P7"/>
    <mergeCell ref="Q1:Q7"/>
    <mergeCell ref="R1:R7"/>
    <mergeCell ref="S1:S7"/>
    <mergeCell ref="A1:A7"/>
    <mergeCell ref="I2:L2"/>
    <mergeCell ref="I3:I7"/>
    <mergeCell ref="J3:J7"/>
    <mergeCell ref="K3:K7"/>
    <mergeCell ref="L3:L7"/>
    <mergeCell ref="B2:B7"/>
    <mergeCell ref="C2:C7"/>
    <mergeCell ref="D2:D7"/>
    <mergeCell ref="E2:E7"/>
  </mergeCells>
  <printOptions horizontalCentered="1"/>
  <pageMargins left="0.3937007874015748" right="0.35433070866141736" top="1.8110236220472442" bottom="0.984251968503937" header="0.5118110236220472" footer="0.5118110236220472"/>
  <pageSetup horizontalDpi="600" verticalDpi="600" orientation="landscape" paperSize="9" r:id="rId1"/>
  <headerFooter alignWithMargins="0">
    <oddHeader>&amp;C
&amp;"Arial,Félkövér dőlt"&amp;14KIMUTATÁS A KÖZTISZTVISELŐI ILLETMÉNYEK SZÁMÍTÁSÁHOZ&amp;R&amp;"Arial,Dőlt"&amp;8 10.számú melléklet</oddHeader>
    <oddFooter>&amp;C&amp;"Arial,Dőlt"&amp;8&amp;P.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98"/>
  <sheetViews>
    <sheetView zoomScalePageLayoutView="0" workbookViewId="0" topLeftCell="A28">
      <selection activeCell="D46" sqref="D46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2" ht="12">
      <c r="A2" s="61" t="s">
        <v>243</v>
      </c>
    </row>
    <row r="4" spans="1:4" ht="38.25" customHeight="1">
      <c r="A4" s="363" t="s">
        <v>1262</v>
      </c>
      <c r="B4" s="361"/>
      <c r="C4" s="361"/>
      <c r="D4" s="361"/>
    </row>
    <row r="6" ht="12">
      <c r="A6" s="37" t="s">
        <v>255</v>
      </c>
    </row>
    <row r="7" ht="12">
      <c r="A7" s="37" t="s">
        <v>256</v>
      </c>
    </row>
    <row r="9" ht="12">
      <c r="A9" s="37" t="s">
        <v>1264</v>
      </c>
    </row>
    <row r="10" spans="2:3" ht="12">
      <c r="B10" s="13" t="s">
        <v>665</v>
      </c>
      <c r="C10" s="63" t="s">
        <v>666</v>
      </c>
    </row>
    <row r="11" spans="1:4" ht="12">
      <c r="A11" s="37" t="s">
        <v>1265</v>
      </c>
      <c r="B11" s="243"/>
      <c r="C11" s="274">
        <v>20000</v>
      </c>
      <c r="D11" s="274">
        <f>ROUND(C11/1000,0)</f>
        <v>20</v>
      </c>
    </row>
    <row r="12" spans="1:4" ht="12">
      <c r="A12" s="37" t="s">
        <v>667</v>
      </c>
      <c r="B12" s="243">
        <v>0</v>
      </c>
      <c r="C12" s="274">
        <v>499000</v>
      </c>
      <c r="D12" s="274">
        <f>ROUND(C12/1000,0)</f>
        <v>499</v>
      </c>
    </row>
    <row r="13" spans="1:3" ht="12">
      <c r="A13" s="37" t="s">
        <v>1675</v>
      </c>
      <c r="B13" s="243"/>
      <c r="C13" s="274">
        <v>5064211</v>
      </c>
    </row>
    <row r="14" spans="1:3" ht="12">
      <c r="A14" s="37" t="s">
        <v>671</v>
      </c>
      <c r="B14" s="243"/>
      <c r="C14" s="274"/>
    </row>
    <row r="15" spans="1:3" ht="12">
      <c r="A15" s="37" t="s">
        <v>668</v>
      </c>
      <c r="B15" s="243"/>
      <c r="C15" s="274">
        <v>5312000</v>
      </c>
    </row>
    <row r="16" spans="1:3" ht="12">
      <c r="A16" s="37" t="s">
        <v>669</v>
      </c>
      <c r="B16" s="243"/>
      <c r="C16" s="274">
        <f>(8*823750)+(4*635375)</f>
        <v>9131500</v>
      </c>
    </row>
    <row r="17" spans="1:3" ht="12">
      <c r="A17" s="37" t="s">
        <v>670</v>
      </c>
      <c r="B17" s="243"/>
      <c r="C17" s="274">
        <f>SUM(C15:C16)</f>
        <v>14443500</v>
      </c>
    </row>
    <row r="18" spans="1:4" ht="12">
      <c r="A18" s="37" t="s">
        <v>672</v>
      </c>
      <c r="B18" s="243"/>
      <c r="C18" s="274">
        <f>C13+C17</f>
        <v>19507711</v>
      </c>
      <c r="D18" s="274">
        <f aca="true" t="shared" si="0" ref="D18:D24">ROUND(C18/1000,0)</f>
        <v>19508</v>
      </c>
    </row>
    <row r="19" spans="1:4" ht="12">
      <c r="A19" s="37" t="s">
        <v>1142</v>
      </c>
      <c r="B19" s="243"/>
      <c r="C19" s="274">
        <v>627000</v>
      </c>
      <c r="D19" s="274">
        <f t="shared" si="0"/>
        <v>627</v>
      </c>
    </row>
    <row r="20" spans="1:4" ht="12">
      <c r="A20" s="37" t="s">
        <v>1143</v>
      </c>
      <c r="B20" s="243"/>
      <c r="C20" s="274">
        <v>2746000</v>
      </c>
      <c r="D20" s="274">
        <f t="shared" si="0"/>
        <v>2746</v>
      </c>
    </row>
    <row r="21" spans="1:4" ht="12">
      <c r="A21" s="37" t="s">
        <v>1144</v>
      </c>
      <c r="B21" s="243"/>
      <c r="C21" s="274">
        <v>7000</v>
      </c>
      <c r="D21" s="274">
        <f t="shared" si="0"/>
        <v>7</v>
      </c>
    </row>
    <row r="22" spans="1:4" ht="12">
      <c r="A22" s="37" t="s">
        <v>1145</v>
      </c>
      <c r="B22" s="243"/>
      <c r="C22" s="274">
        <v>129000</v>
      </c>
      <c r="D22" s="274">
        <f t="shared" si="0"/>
        <v>129</v>
      </c>
    </row>
    <row r="23" spans="1:4" ht="12">
      <c r="A23" s="37" t="s">
        <v>1146</v>
      </c>
      <c r="B23" s="243"/>
      <c r="C23" s="274">
        <v>51000</v>
      </c>
      <c r="D23" s="274">
        <f t="shared" si="0"/>
        <v>51</v>
      </c>
    </row>
    <row r="24" spans="1:4" ht="12">
      <c r="A24" s="37" t="s">
        <v>1147</v>
      </c>
      <c r="B24" s="243"/>
      <c r="C24" s="274">
        <f>SUM(C19:C23)</f>
        <v>3560000</v>
      </c>
      <c r="D24" s="274">
        <f t="shared" si="0"/>
        <v>3560</v>
      </c>
    </row>
    <row r="25" spans="1:4" ht="12">
      <c r="A25" s="37" t="s">
        <v>1264</v>
      </c>
      <c r="B25" s="243">
        <f>SUM(B11:B17)</f>
        <v>0</v>
      </c>
      <c r="C25" s="341">
        <f>C11+C12+C18+C24</f>
        <v>23586711</v>
      </c>
      <c r="D25" s="274">
        <f>ROUND(C25/1000,0)</f>
        <v>23587</v>
      </c>
    </row>
    <row r="27" ht="12">
      <c r="A27" s="37" t="s">
        <v>1266</v>
      </c>
    </row>
    <row r="28" spans="2:5" ht="12">
      <c r="B28" s="13" t="s">
        <v>665</v>
      </c>
      <c r="C28" s="63" t="s">
        <v>666</v>
      </c>
      <c r="E28" s="37" t="s">
        <v>96</v>
      </c>
    </row>
    <row r="29" spans="1:3" ht="12">
      <c r="A29" s="37" t="s">
        <v>673</v>
      </c>
      <c r="B29" s="13">
        <v>57700</v>
      </c>
      <c r="C29" s="274">
        <v>150000</v>
      </c>
    </row>
    <row r="30" spans="1:3" ht="12">
      <c r="A30" s="37" t="s">
        <v>674</v>
      </c>
      <c r="B30" s="243"/>
      <c r="C30" s="274">
        <v>60000</v>
      </c>
    </row>
    <row r="31" spans="1:3" ht="12">
      <c r="A31" s="27" t="s">
        <v>823</v>
      </c>
      <c r="B31" s="243"/>
      <c r="C31" s="274"/>
    </row>
    <row r="32" spans="1:4" ht="12">
      <c r="A32" s="37" t="s">
        <v>1266</v>
      </c>
      <c r="B32" s="13">
        <f>SUM(B29:B30)</f>
        <v>57700</v>
      </c>
      <c r="C32" s="341">
        <f>SUM(C29:C30)</f>
        <v>210000</v>
      </c>
      <c r="D32" s="274">
        <f>ROUND(C32/1000,0)</f>
        <v>210</v>
      </c>
    </row>
    <row r="33" ht="12">
      <c r="A33" s="37" t="s">
        <v>1267</v>
      </c>
    </row>
    <row r="34" spans="1:4" ht="12">
      <c r="A34" s="37" t="s">
        <v>435</v>
      </c>
      <c r="B34" s="13"/>
      <c r="C34" s="274">
        <v>66439</v>
      </c>
      <c r="D34" s="274"/>
    </row>
    <row r="35" spans="1:4" ht="12">
      <c r="A35" s="37" t="s">
        <v>248</v>
      </c>
      <c r="C35" s="274">
        <v>500000</v>
      </c>
      <c r="D35" s="274"/>
    </row>
    <row r="36" spans="1:4" ht="12">
      <c r="A36" s="37" t="s">
        <v>1267</v>
      </c>
      <c r="C36" s="341">
        <f>C35+C34</f>
        <v>566439</v>
      </c>
      <c r="D36" s="274">
        <f>ROUND(C36/1000,0)</f>
        <v>566</v>
      </c>
    </row>
    <row r="37" ht="12">
      <c r="A37" s="37" t="s">
        <v>1149</v>
      </c>
    </row>
    <row r="38" spans="1:4" ht="12">
      <c r="A38" s="37" t="s">
        <v>259</v>
      </c>
      <c r="C38" s="274">
        <v>576669</v>
      </c>
      <c r="D38" s="274">
        <f>ROUND(C38/1000,0)</f>
        <v>577</v>
      </c>
    </row>
    <row r="39" spans="1:4" ht="12">
      <c r="A39" s="37" t="s">
        <v>1149</v>
      </c>
      <c r="C39" s="341">
        <f>SUM(C38)</f>
        <v>576669</v>
      </c>
      <c r="D39" s="274">
        <f>SUM(D38)</f>
        <v>577</v>
      </c>
    </row>
    <row r="40" ht="12">
      <c r="A40" s="37" t="s">
        <v>249</v>
      </c>
    </row>
    <row r="41" ht="12">
      <c r="A41" s="37" t="s">
        <v>250</v>
      </c>
    </row>
    <row r="42" spans="1:4" ht="12">
      <c r="A42" s="37" t="s">
        <v>1643</v>
      </c>
      <c r="C42" s="342">
        <v>600000</v>
      </c>
      <c r="D42" s="55">
        <v>600</v>
      </c>
    </row>
    <row r="43" spans="1:4" ht="12">
      <c r="A43" s="37" t="s">
        <v>1190</v>
      </c>
      <c r="C43" s="341">
        <v>200000</v>
      </c>
      <c r="D43" s="274">
        <v>200</v>
      </c>
    </row>
    <row r="45" ht="12">
      <c r="A45" s="61" t="s">
        <v>257</v>
      </c>
    </row>
    <row r="46" ht="12">
      <c r="A46" s="9" t="s">
        <v>1644</v>
      </c>
    </row>
    <row r="48" spans="1:3" ht="12">
      <c r="A48" s="9" t="s">
        <v>1302</v>
      </c>
      <c r="B48" s="14" t="s">
        <v>1300</v>
      </c>
      <c r="C48" s="14" t="s">
        <v>1301</v>
      </c>
    </row>
    <row r="49" ht="12">
      <c r="A49" s="37" t="s">
        <v>251</v>
      </c>
    </row>
    <row r="50" ht="12">
      <c r="A50" s="37" t="s">
        <v>679</v>
      </c>
    </row>
    <row r="51" spans="1:3" ht="12">
      <c r="A51" s="37" t="s">
        <v>252</v>
      </c>
      <c r="B51" s="55">
        <f>hil!C6</f>
        <v>300000</v>
      </c>
      <c r="C51" s="55">
        <f>B51*1</f>
        <v>300000</v>
      </c>
    </row>
    <row r="52" spans="1:3" ht="12">
      <c r="A52" s="37" t="s">
        <v>253</v>
      </c>
      <c r="C52" s="55">
        <f>(3*300000)+(4*69000)+(4*300000)</f>
        <v>2376000</v>
      </c>
    </row>
    <row r="53" spans="1:3" ht="12">
      <c r="A53" s="37" t="s">
        <v>200</v>
      </c>
      <c r="C53" s="55">
        <f>hil!C6</f>
        <v>300000</v>
      </c>
    </row>
    <row r="54" spans="1:4" ht="12">
      <c r="A54" s="37" t="s">
        <v>679</v>
      </c>
      <c r="C54" s="55">
        <f>SUM(C51:C53)</f>
        <v>2976000</v>
      </c>
      <c r="D54" s="55">
        <f>ROUND(C54/1000,0)</f>
        <v>2976</v>
      </c>
    </row>
    <row r="55" ht="12">
      <c r="A55" s="37" t="s">
        <v>680</v>
      </c>
    </row>
    <row r="56" spans="1:3" ht="12">
      <c r="A56" s="37" t="s">
        <v>252</v>
      </c>
      <c r="B56" s="55">
        <f>hil!C22</f>
        <v>70000</v>
      </c>
      <c r="C56" s="55">
        <f>B56*1</f>
        <v>70000</v>
      </c>
    </row>
    <row r="57" spans="1:3" ht="12">
      <c r="A57" s="37" t="s">
        <v>253</v>
      </c>
      <c r="B57" s="55">
        <f>hil!D22</f>
        <v>73500</v>
      </c>
      <c r="C57" s="55">
        <f>B57*11</f>
        <v>808500</v>
      </c>
    </row>
    <row r="58" spans="1:4" ht="12">
      <c r="A58" s="37" t="s">
        <v>680</v>
      </c>
      <c r="C58" s="55">
        <f>SUM(C56:C57)</f>
        <v>878500</v>
      </c>
      <c r="D58" s="55">
        <f>ROUND(C58/1000,0)</f>
        <v>879</v>
      </c>
    </row>
    <row r="59" spans="1:4" ht="12">
      <c r="A59" s="37" t="s">
        <v>681</v>
      </c>
      <c r="C59" s="55">
        <f>C54+C58</f>
        <v>3854500</v>
      </c>
      <c r="D59" s="55">
        <f>D54+D58</f>
        <v>3855</v>
      </c>
    </row>
    <row r="60" spans="1:4" s="9" customFormat="1" ht="12">
      <c r="A60" s="9" t="s">
        <v>1302</v>
      </c>
      <c r="B60" s="243"/>
      <c r="C60" s="343">
        <f>C59</f>
        <v>3854500</v>
      </c>
      <c r="D60" s="243">
        <f>D59</f>
        <v>3855</v>
      </c>
    </row>
    <row r="62" ht="12">
      <c r="A62" s="9" t="s">
        <v>1303</v>
      </c>
    </row>
    <row r="63" ht="12">
      <c r="A63" s="37" t="s">
        <v>1305</v>
      </c>
    </row>
    <row r="64" spans="1:4" ht="12">
      <c r="A64" s="37" t="s">
        <v>254</v>
      </c>
      <c r="C64" s="274">
        <f>hil!D6+hil!D22-500</f>
        <v>373000</v>
      </c>
      <c r="D64" s="274">
        <f>ROUND(C64/1000,0)</f>
        <v>373</v>
      </c>
    </row>
    <row r="65" spans="3:4" ht="12">
      <c r="C65" s="274"/>
      <c r="D65" s="274"/>
    </row>
    <row r="66" ht="12">
      <c r="A66" s="37" t="s">
        <v>538</v>
      </c>
    </row>
    <row r="67" ht="12">
      <c r="A67" s="37" t="s">
        <v>682</v>
      </c>
    </row>
    <row r="68" spans="1:4" ht="12">
      <c r="A68" s="37" t="s">
        <v>684</v>
      </c>
      <c r="B68" s="274">
        <v>1</v>
      </c>
      <c r="C68" s="274"/>
      <c r="D68" s="274"/>
    </row>
    <row r="69" spans="1:4" ht="12">
      <c r="A69" s="37" t="s">
        <v>683</v>
      </c>
      <c r="B69" s="274">
        <v>38650</v>
      </c>
      <c r="C69" s="274"/>
      <c r="D69" s="274"/>
    </row>
    <row r="70" spans="1:4" ht="12">
      <c r="A70" s="37" t="s">
        <v>682</v>
      </c>
      <c r="B70" s="274"/>
      <c r="C70" s="274">
        <f>B68*B69*2</f>
        <v>77300</v>
      </c>
      <c r="D70" s="274">
        <f>ROUND(C70/1000,0)</f>
        <v>77</v>
      </c>
    </row>
    <row r="71" ht="12">
      <c r="A71" s="37" t="s">
        <v>1311</v>
      </c>
    </row>
    <row r="72" spans="1:3" ht="12">
      <c r="A72" s="37" t="s">
        <v>539</v>
      </c>
      <c r="B72" s="55">
        <v>1</v>
      </c>
      <c r="C72" s="55">
        <v>1</v>
      </c>
    </row>
    <row r="73" spans="1:3" ht="12">
      <c r="A73" s="37" t="s">
        <v>540</v>
      </c>
      <c r="B73" s="55">
        <v>12000</v>
      </c>
      <c r="C73" s="55">
        <v>6000</v>
      </c>
    </row>
    <row r="74" spans="1:4" ht="12">
      <c r="A74" s="37" t="s">
        <v>1311</v>
      </c>
      <c r="C74" s="274">
        <f>(B72*B73*12)+(C72*C73*12)</f>
        <v>216000</v>
      </c>
      <c r="D74" s="55">
        <f>ROUND(C74/1000,0)</f>
        <v>216</v>
      </c>
    </row>
    <row r="76" spans="1:3" ht="12">
      <c r="A76" s="37" t="s">
        <v>541</v>
      </c>
      <c r="B76" s="63" t="s">
        <v>1300</v>
      </c>
      <c r="C76" s="63" t="s">
        <v>1301</v>
      </c>
    </row>
    <row r="77" spans="1:3" ht="12">
      <c r="A77" s="37" t="s">
        <v>542</v>
      </c>
      <c r="B77" s="55">
        <f>hil!$E$6</f>
        <v>75000</v>
      </c>
      <c r="C77" s="55">
        <f>B77*12</f>
        <v>900000</v>
      </c>
    </row>
    <row r="78" spans="1:4" ht="12">
      <c r="A78" s="37" t="s">
        <v>541</v>
      </c>
      <c r="B78" s="55">
        <f>hil!$E$6</f>
        <v>75000</v>
      </c>
      <c r="C78" s="55">
        <f>B78*12</f>
        <v>900000</v>
      </c>
      <c r="D78" s="55">
        <f>ROUND(C78/1000,0)</f>
        <v>900</v>
      </c>
    </row>
    <row r="79" spans="1:4" ht="12">
      <c r="A79" s="37" t="s">
        <v>694</v>
      </c>
      <c r="C79" s="55">
        <f>C70+C74+C78</f>
        <v>1193300</v>
      </c>
      <c r="D79" s="55">
        <f>D70+D74+D78</f>
        <v>1193</v>
      </c>
    </row>
    <row r="80" spans="1:4" s="9" customFormat="1" ht="12">
      <c r="A80" s="9" t="s">
        <v>1303</v>
      </c>
      <c r="B80" s="243"/>
      <c r="C80" s="344">
        <f>C64+C79</f>
        <v>1566300</v>
      </c>
      <c r="D80" s="243">
        <f>D64+D79</f>
        <v>1566</v>
      </c>
    </row>
    <row r="81" spans="2:4" s="9" customFormat="1" ht="12">
      <c r="B81" s="243"/>
      <c r="C81" s="243"/>
      <c r="D81" s="243"/>
    </row>
    <row r="82" ht="12">
      <c r="A82" s="9" t="s">
        <v>1488</v>
      </c>
    </row>
    <row r="83" spans="1:3" ht="12">
      <c r="A83" s="37" t="s">
        <v>543</v>
      </c>
      <c r="B83" s="37"/>
      <c r="C83" s="37"/>
    </row>
    <row r="84" spans="2:3" ht="12">
      <c r="B84" s="63" t="s">
        <v>1300</v>
      </c>
      <c r="C84" s="63" t="s">
        <v>1301</v>
      </c>
    </row>
    <row r="85" spans="1:4" ht="12">
      <c r="A85" s="37" t="s">
        <v>1135</v>
      </c>
      <c r="B85" s="293">
        <v>40000</v>
      </c>
      <c r="C85" s="304">
        <f>B85*12</f>
        <v>480000</v>
      </c>
      <c r="D85" s="304">
        <f>ROUND(C85/1000,0)</f>
        <v>480</v>
      </c>
    </row>
    <row r="86" spans="1:4" ht="12">
      <c r="A86" s="37" t="s">
        <v>1299</v>
      </c>
      <c r="B86" s="274">
        <f>hil!$D$14</f>
        <v>190000</v>
      </c>
      <c r="C86" s="274">
        <f>B86*12</f>
        <v>2280000</v>
      </c>
      <c r="D86" s="274">
        <f>ROUND(C86/1000,0)</f>
        <v>2280</v>
      </c>
    </row>
    <row r="87" spans="1:4" ht="12">
      <c r="A87" s="37" t="s">
        <v>1377</v>
      </c>
      <c r="B87" s="274"/>
      <c r="C87" s="274"/>
      <c r="D87" s="274"/>
    </row>
    <row r="88" spans="1:4" ht="12">
      <c r="A88" s="37" t="s">
        <v>1378</v>
      </c>
      <c r="B88" s="274"/>
      <c r="C88" s="274"/>
      <c r="D88" s="274"/>
    </row>
    <row r="89" spans="1:4" ht="12">
      <c r="A89" s="37" t="s">
        <v>1379</v>
      </c>
      <c r="B89" s="274">
        <v>2</v>
      </c>
      <c r="C89" s="274"/>
      <c r="D89" s="274"/>
    </row>
    <row r="90" spans="1:4" ht="12">
      <c r="A90" s="37" t="s">
        <v>1380</v>
      </c>
      <c r="B90" s="274">
        <v>1500</v>
      </c>
      <c r="C90" s="274"/>
      <c r="D90" s="274"/>
    </row>
    <row r="91" spans="1:4" ht="12">
      <c r="A91" s="37" t="s">
        <v>1381</v>
      </c>
      <c r="B91" s="274"/>
      <c r="C91" s="274">
        <f>B89*B90*12</f>
        <v>36000</v>
      </c>
      <c r="D91" s="274">
        <f>ROUND(C91/1000,0)</f>
        <v>36</v>
      </c>
    </row>
    <row r="92" spans="1:4" s="9" customFormat="1" ht="12">
      <c r="A92" s="9" t="s">
        <v>1382</v>
      </c>
      <c r="B92" s="280"/>
      <c r="C92" s="343">
        <f>C86+C91+C85</f>
        <v>2796000</v>
      </c>
      <c r="D92" s="280">
        <f>D86+D91+D85</f>
        <v>2796</v>
      </c>
    </row>
    <row r="94" spans="1:4" s="61" customFormat="1" ht="12">
      <c r="A94" s="61" t="s">
        <v>753</v>
      </c>
      <c r="B94" s="226"/>
      <c r="C94" s="226">
        <f>C60+C80+C92</f>
        <v>8216800</v>
      </c>
      <c r="D94" s="226">
        <f>D60+D80+D92</f>
        <v>8217</v>
      </c>
    </row>
    <row r="96" ht="12">
      <c r="A96" s="61" t="s">
        <v>754</v>
      </c>
    </row>
    <row r="97" spans="1:3" ht="12">
      <c r="A97" s="37" t="s">
        <v>755</v>
      </c>
      <c r="B97" s="63" t="s">
        <v>1316</v>
      </c>
      <c r="C97" s="63" t="s">
        <v>599</v>
      </c>
    </row>
    <row r="98" spans="1:4" ht="12">
      <c r="A98" s="37" t="s">
        <v>600</v>
      </c>
      <c r="B98" s="55">
        <f>C60+C64+C86+C85</f>
        <v>6987500</v>
      </c>
      <c r="C98" s="342">
        <f>B98*24%</f>
        <v>1677000</v>
      </c>
      <c r="D98" s="55">
        <f>ROUND(C98/1000,0)</f>
        <v>1677</v>
      </c>
    </row>
    <row r="99" spans="2:3" ht="12">
      <c r="B99" s="63" t="s">
        <v>1316</v>
      </c>
      <c r="C99" s="63" t="s">
        <v>601</v>
      </c>
    </row>
    <row r="100" spans="1:4" ht="12">
      <c r="A100" s="37" t="s">
        <v>602</v>
      </c>
      <c r="B100" s="55">
        <f>C60+C64+C86+C85</f>
        <v>6987500</v>
      </c>
      <c r="C100" s="342">
        <f>B100*4.5%</f>
        <v>314437.5</v>
      </c>
      <c r="D100" s="55">
        <f>ROUND(C100/1000,0)</f>
        <v>314</v>
      </c>
    </row>
    <row r="101" spans="2:3" ht="12">
      <c r="B101" s="63" t="s">
        <v>1316</v>
      </c>
      <c r="C101" s="63" t="s">
        <v>604</v>
      </c>
    </row>
    <row r="102" spans="1:4" ht="12">
      <c r="A102" s="37" t="s">
        <v>603</v>
      </c>
      <c r="B102" s="55">
        <f>C60+C64+C86+C85</f>
        <v>6987500</v>
      </c>
      <c r="C102" s="342">
        <f>B102*0.5%</f>
        <v>34937.5</v>
      </c>
      <c r="D102" s="55">
        <f>ROUND(C102/1000,0)</f>
        <v>35</v>
      </c>
    </row>
    <row r="103" spans="1:4" ht="12">
      <c r="A103" s="37" t="s">
        <v>605</v>
      </c>
      <c r="C103" s="55">
        <f>C98+C100+C102</f>
        <v>2026375</v>
      </c>
      <c r="D103" s="55">
        <f>D98+D100+D102</f>
        <v>2026</v>
      </c>
    </row>
    <row r="105" spans="2:3" ht="12">
      <c r="B105" s="63" t="s">
        <v>1316</v>
      </c>
      <c r="C105" s="63" t="s">
        <v>1317</v>
      </c>
    </row>
    <row r="106" spans="1:4" ht="12">
      <c r="A106" s="37" t="s">
        <v>1318</v>
      </c>
      <c r="B106" s="55">
        <f>C60+C64+C85</f>
        <v>4707500</v>
      </c>
      <c r="C106" s="342">
        <f>B106*3%</f>
        <v>141225</v>
      </c>
      <c r="D106" s="55">
        <f>ROUND(C106/1000,0)</f>
        <v>141</v>
      </c>
    </row>
    <row r="108" ht="12">
      <c r="A108" s="37" t="s">
        <v>301</v>
      </c>
    </row>
    <row r="109" spans="1:2" ht="12">
      <c r="A109" s="37" t="s">
        <v>302</v>
      </c>
      <c r="B109" s="55">
        <v>2</v>
      </c>
    </row>
    <row r="110" spans="1:3" ht="12">
      <c r="A110" s="37" t="s">
        <v>706</v>
      </c>
      <c r="B110" s="55">
        <v>1950</v>
      </c>
      <c r="C110" s="342">
        <f>B109*B110*12</f>
        <v>46800</v>
      </c>
    </row>
    <row r="111" spans="2:3" ht="12">
      <c r="B111" s="14" t="s">
        <v>620</v>
      </c>
      <c r="C111" s="14" t="s">
        <v>1126</v>
      </c>
    </row>
    <row r="112" spans="1:3" ht="12">
      <c r="A112" s="37" t="s">
        <v>1125</v>
      </c>
      <c r="B112" s="55">
        <f>C86+C91</f>
        <v>2316000</v>
      </c>
      <c r="C112" s="55">
        <f>B112*11%</f>
        <v>254760</v>
      </c>
    </row>
    <row r="113" spans="1:4" ht="12">
      <c r="A113" s="37" t="s">
        <v>301</v>
      </c>
      <c r="C113" s="342">
        <f>C110+C112</f>
        <v>301560</v>
      </c>
      <c r="D113" s="55">
        <f>ROUND(C113/1000,0)</f>
        <v>302</v>
      </c>
    </row>
    <row r="115" spans="1:4" s="61" customFormat="1" ht="12">
      <c r="A115" s="61" t="s">
        <v>754</v>
      </c>
      <c r="B115" s="226"/>
      <c r="C115" s="226">
        <f>C103+C106+C113</f>
        <v>2469160</v>
      </c>
      <c r="D115" s="226">
        <f>D103+D106+D113</f>
        <v>2469</v>
      </c>
    </row>
    <row r="117" ht="12">
      <c r="A117" s="61" t="s">
        <v>756</v>
      </c>
    </row>
    <row r="119" spans="1:3" ht="12">
      <c r="A119" s="9" t="s">
        <v>1383</v>
      </c>
      <c r="B119" s="13" t="s">
        <v>665</v>
      </c>
      <c r="C119" s="63" t="s">
        <v>666</v>
      </c>
    </row>
    <row r="120" spans="1:4" ht="12">
      <c r="A120" s="37" t="s">
        <v>1384</v>
      </c>
      <c r="B120" s="13">
        <v>374341</v>
      </c>
      <c r="C120" s="274">
        <v>343000</v>
      </c>
      <c r="D120" s="55">
        <f>ROUND(C120/1000,0)</f>
        <v>343</v>
      </c>
    </row>
    <row r="121" spans="1:4" ht="12">
      <c r="A121" s="37" t="s">
        <v>1127</v>
      </c>
      <c r="B121" s="13">
        <v>6780</v>
      </c>
      <c r="C121" s="274">
        <v>10000</v>
      </c>
      <c r="D121" s="55">
        <f aca="true" t="shared" si="1" ref="D121:D127">ROUND(C121/1000,0)</f>
        <v>10</v>
      </c>
    </row>
    <row r="122" spans="1:4" ht="12">
      <c r="A122" s="37" t="s">
        <v>1128</v>
      </c>
      <c r="B122" s="13">
        <v>32461</v>
      </c>
      <c r="C122" s="274">
        <v>1000000</v>
      </c>
      <c r="D122" s="55">
        <f t="shared" si="1"/>
        <v>1000</v>
      </c>
    </row>
    <row r="123" spans="1:4" ht="12">
      <c r="A123" s="37" t="s">
        <v>1129</v>
      </c>
      <c r="B123" s="13">
        <v>89000</v>
      </c>
      <c r="C123" s="274">
        <v>96000</v>
      </c>
      <c r="D123" s="55">
        <f t="shared" si="1"/>
        <v>96</v>
      </c>
    </row>
    <row r="124" spans="1:4" ht="12">
      <c r="A124" s="37" t="s">
        <v>1385</v>
      </c>
      <c r="B124" s="13"/>
      <c r="C124" s="274"/>
      <c r="D124" s="55">
        <f t="shared" si="1"/>
        <v>0</v>
      </c>
    </row>
    <row r="125" spans="1:4" ht="12">
      <c r="A125" s="37" t="s">
        <v>1130</v>
      </c>
      <c r="B125" s="13">
        <v>37575</v>
      </c>
      <c r="C125" s="274"/>
      <c r="D125" s="55">
        <f t="shared" si="1"/>
        <v>0</v>
      </c>
    </row>
    <row r="126" spans="1:4" ht="12">
      <c r="A126" s="37" t="s">
        <v>1131</v>
      </c>
      <c r="B126" s="13">
        <v>0</v>
      </c>
      <c r="C126" s="274"/>
      <c r="D126" s="55">
        <f t="shared" si="1"/>
        <v>0</v>
      </c>
    </row>
    <row r="127" spans="1:4" ht="12">
      <c r="A127" s="37" t="s">
        <v>571</v>
      </c>
      <c r="B127" s="13">
        <v>72402</v>
      </c>
      <c r="C127" s="274">
        <v>20000</v>
      </c>
      <c r="D127" s="55">
        <f t="shared" si="1"/>
        <v>20</v>
      </c>
    </row>
    <row r="128" spans="1:4" s="9" customFormat="1" ht="12">
      <c r="A128" s="9" t="s">
        <v>572</v>
      </c>
      <c r="B128" s="13">
        <f>SUM(B120:B127)</f>
        <v>612559</v>
      </c>
      <c r="C128" s="344">
        <f>SUM(C120:C127)</f>
        <v>1469000</v>
      </c>
      <c r="D128" s="243">
        <f>SUM(D120:D127)</f>
        <v>1469</v>
      </c>
    </row>
    <row r="129" ht="12">
      <c r="B129" s="16"/>
    </row>
    <row r="130" spans="1:2" ht="12">
      <c r="A130" s="9" t="s">
        <v>310</v>
      </c>
      <c r="B130" s="16"/>
    </row>
    <row r="131" spans="1:4" ht="12">
      <c r="A131" s="37" t="s">
        <v>573</v>
      </c>
      <c r="B131" s="13">
        <v>679183</v>
      </c>
      <c r="C131" s="274">
        <v>613000</v>
      </c>
      <c r="D131" s="274">
        <f aca="true" t="shared" si="2" ref="D131:D142">ROUND(C131/1000,0)</f>
        <v>613</v>
      </c>
    </row>
    <row r="132" spans="1:4" ht="12">
      <c r="A132" s="37" t="s">
        <v>1288</v>
      </c>
      <c r="B132" s="13"/>
      <c r="C132" s="274">
        <v>70000</v>
      </c>
      <c r="D132" s="274">
        <f t="shared" si="2"/>
        <v>70</v>
      </c>
    </row>
    <row r="133" spans="1:4" ht="12">
      <c r="A133" s="37" t="s">
        <v>574</v>
      </c>
      <c r="B133" s="13">
        <v>243000</v>
      </c>
      <c r="C133" s="274">
        <v>170000</v>
      </c>
      <c r="D133" s="274">
        <f t="shared" si="2"/>
        <v>170</v>
      </c>
    </row>
    <row r="134" spans="1:4" ht="12">
      <c r="A134" s="37" t="s">
        <v>575</v>
      </c>
      <c r="B134" s="13"/>
      <c r="D134" s="55">
        <f t="shared" si="2"/>
        <v>0</v>
      </c>
    </row>
    <row r="135" spans="1:4" ht="12">
      <c r="A135" s="37" t="s">
        <v>576</v>
      </c>
      <c r="B135" s="13">
        <v>54589</v>
      </c>
      <c r="C135" s="274">
        <v>32000</v>
      </c>
      <c r="D135" s="274">
        <f t="shared" si="2"/>
        <v>32</v>
      </c>
    </row>
    <row r="136" spans="1:4" ht="12">
      <c r="A136" s="37" t="s">
        <v>1292</v>
      </c>
      <c r="B136" s="13">
        <v>29440</v>
      </c>
      <c r="C136" s="274">
        <v>76000</v>
      </c>
      <c r="D136" s="274">
        <f t="shared" si="2"/>
        <v>76</v>
      </c>
    </row>
    <row r="137" spans="1:4" ht="12">
      <c r="A137" s="37" t="s">
        <v>1293</v>
      </c>
      <c r="B137" s="13">
        <v>774720</v>
      </c>
      <c r="C137" s="274">
        <v>730000</v>
      </c>
      <c r="D137" s="274">
        <f t="shared" si="2"/>
        <v>730</v>
      </c>
    </row>
    <row r="138" spans="1:4" ht="12">
      <c r="A138" s="37" t="s">
        <v>577</v>
      </c>
      <c r="B138" s="13">
        <v>126526</v>
      </c>
      <c r="C138" s="274">
        <v>284000</v>
      </c>
      <c r="D138" s="274">
        <f t="shared" si="2"/>
        <v>284</v>
      </c>
    </row>
    <row r="139" spans="1:4" ht="12">
      <c r="A139" s="37" t="s">
        <v>578</v>
      </c>
      <c r="B139" s="13">
        <v>17792</v>
      </c>
      <c r="C139" s="274">
        <v>10000</v>
      </c>
      <c r="D139" s="274">
        <f t="shared" si="2"/>
        <v>10</v>
      </c>
    </row>
    <row r="140" spans="1:4" ht="12">
      <c r="A140" s="37" t="s">
        <v>633</v>
      </c>
      <c r="B140" s="13">
        <v>381866</v>
      </c>
      <c r="C140" s="274">
        <v>130000</v>
      </c>
      <c r="D140" s="274">
        <f t="shared" si="2"/>
        <v>130</v>
      </c>
    </row>
    <row r="141" spans="1:4" ht="12">
      <c r="A141" s="37" t="s">
        <v>579</v>
      </c>
      <c r="B141" s="13">
        <v>109686</v>
      </c>
      <c r="C141" s="274">
        <v>260000</v>
      </c>
      <c r="D141" s="274">
        <f t="shared" si="2"/>
        <v>260</v>
      </c>
    </row>
    <row r="142" spans="1:4" ht="12">
      <c r="A142" s="37" t="s">
        <v>312</v>
      </c>
      <c r="B142" s="13">
        <v>382598</v>
      </c>
      <c r="C142" s="274">
        <v>150000</v>
      </c>
      <c r="D142" s="274">
        <f t="shared" si="2"/>
        <v>150</v>
      </c>
    </row>
    <row r="143" spans="1:4" s="9" customFormat="1" ht="12">
      <c r="A143" s="9" t="s">
        <v>313</v>
      </c>
      <c r="B143" s="13">
        <f>SUM(B131:B142)</f>
        <v>2799400</v>
      </c>
      <c r="C143" s="343">
        <f>SUM(C131:C142)</f>
        <v>2525000</v>
      </c>
      <c r="D143" s="280">
        <f>SUM(D131:D142)</f>
        <v>2525</v>
      </c>
    </row>
    <row r="144" ht="12">
      <c r="B144" s="16"/>
    </row>
    <row r="145" spans="1:3" ht="12">
      <c r="A145" s="37" t="s">
        <v>580</v>
      </c>
      <c r="B145" s="63" t="s">
        <v>316</v>
      </c>
      <c r="C145" s="14" t="s">
        <v>317</v>
      </c>
    </row>
    <row r="146" spans="1:3" ht="12">
      <c r="A146" s="37" t="s">
        <v>581</v>
      </c>
      <c r="C146" s="55">
        <f>B146*5%</f>
        <v>0</v>
      </c>
    </row>
    <row r="147" spans="1:4" ht="12">
      <c r="A147" s="37" t="s">
        <v>707</v>
      </c>
      <c r="C147" s="274">
        <v>790000</v>
      </c>
      <c r="D147" s="274"/>
    </row>
    <row r="148" spans="1:4" ht="12">
      <c r="A148" s="37" t="s">
        <v>582</v>
      </c>
      <c r="B148" s="55">
        <f>SUM(B146:B147)</f>
        <v>0</v>
      </c>
      <c r="C148" s="341">
        <f>SUM(C146:C147)</f>
        <v>790000</v>
      </c>
      <c r="D148" s="274">
        <f>ROUND(C148/1000,0)</f>
        <v>790</v>
      </c>
    </row>
    <row r="150" spans="1:3" ht="12">
      <c r="A150" s="37" t="s">
        <v>585</v>
      </c>
      <c r="B150" s="13" t="s">
        <v>665</v>
      </c>
      <c r="C150" s="63" t="s">
        <v>666</v>
      </c>
    </row>
    <row r="151" spans="1:4" ht="12">
      <c r="A151" s="37" t="s">
        <v>1443</v>
      </c>
      <c r="B151" s="13">
        <v>59360</v>
      </c>
      <c r="C151" s="274">
        <v>60000</v>
      </c>
      <c r="D151" s="55">
        <f>ROUND(C151/1000,0)</f>
        <v>60</v>
      </c>
    </row>
    <row r="152" spans="1:4" ht="12">
      <c r="A152" s="37" t="s">
        <v>586</v>
      </c>
      <c r="B152" s="13">
        <v>108554</v>
      </c>
      <c r="C152" s="274">
        <v>159770</v>
      </c>
      <c r="D152" s="55">
        <f>ROUND(C152/1000,0)</f>
        <v>160</v>
      </c>
    </row>
    <row r="153" spans="1:4" ht="12">
      <c r="A153" s="37" t="s">
        <v>587</v>
      </c>
      <c r="B153" s="16"/>
      <c r="C153" s="341">
        <f>SUM(C151:C152)</f>
        <v>219770</v>
      </c>
      <c r="D153" s="274">
        <f>SUM(D151:D152)</f>
        <v>220</v>
      </c>
    </row>
    <row r="155" spans="1:3" ht="12">
      <c r="A155" s="37" t="s">
        <v>588</v>
      </c>
      <c r="B155" s="13" t="s">
        <v>665</v>
      </c>
      <c r="C155" s="63" t="s">
        <v>666</v>
      </c>
    </row>
    <row r="156" ht="12">
      <c r="B156" s="14">
        <v>455368</v>
      </c>
    </row>
    <row r="157" spans="1:3" ht="12">
      <c r="A157" s="37" t="s">
        <v>589</v>
      </c>
      <c r="C157" s="55">
        <v>600000</v>
      </c>
    </row>
    <row r="158" spans="1:3" ht="12">
      <c r="A158" s="37" t="s">
        <v>606</v>
      </c>
      <c r="C158" s="55">
        <v>150000</v>
      </c>
    </row>
    <row r="159" spans="1:4" ht="12">
      <c r="A159" s="37" t="s">
        <v>436</v>
      </c>
      <c r="C159" s="341">
        <v>1806000</v>
      </c>
      <c r="D159" s="274">
        <f>ROUND(C159/1000,0)</f>
        <v>1806</v>
      </c>
    </row>
    <row r="161" spans="1:4" ht="12">
      <c r="A161" s="37" t="s">
        <v>590</v>
      </c>
      <c r="C161" s="55">
        <f>C148+C153+C159</f>
        <v>2815770</v>
      </c>
      <c r="D161" s="55">
        <f>D148+D153+D159</f>
        <v>2816</v>
      </c>
    </row>
    <row r="163" spans="1:4" s="61" customFormat="1" ht="12">
      <c r="A163" s="61" t="s">
        <v>756</v>
      </c>
      <c r="B163" s="226"/>
      <c r="C163" s="226">
        <f>C128+C143+C161</f>
        <v>6809770</v>
      </c>
      <c r="D163" s="226">
        <f>D128+D143+D161</f>
        <v>6810</v>
      </c>
    </row>
    <row r="165" ht="12">
      <c r="A165" s="61" t="s">
        <v>1446</v>
      </c>
    </row>
    <row r="166" spans="2:3" ht="12">
      <c r="B166" s="13" t="s">
        <v>665</v>
      </c>
      <c r="C166" s="63" t="s">
        <v>666</v>
      </c>
    </row>
    <row r="168" spans="1:2" ht="12">
      <c r="A168" s="37" t="s">
        <v>591</v>
      </c>
      <c r="B168" s="55">
        <v>960431</v>
      </c>
    </row>
    <row r="169" ht="12">
      <c r="A169" s="37" t="s">
        <v>1638</v>
      </c>
    </row>
    <row r="170" ht="12">
      <c r="A170" s="37" t="s">
        <v>1639</v>
      </c>
    </row>
    <row r="171" ht="12">
      <c r="A171" s="37" t="s">
        <v>1640</v>
      </c>
    </row>
    <row r="172" spans="1:4" ht="12">
      <c r="A172" s="37" t="s">
        <v>591</v>
      </c>
      <c r="C172" s="274">
        <v>1300000</v>
      </c>
      <c r="D172" s="274">
        <v>1300</v>
      </c>
    </row>
    <row r="173" spans="1:4" ht="12">
      <c r="A173" s="37" t="s">
        <v>437</v>
      </c>
      <c r="C173" s="274">
        <v>2628922</v>
      </c>
      <c r="D173" s="274"/>
    </row>
    <row r="174" spans="1:4" ht="12">
      <c r="A174" s="37" t="s">
        <v>1136</v>
      </c>
      <c r="C174" s="274">
        <v>2294000</v>
      </c>
      <c r="D174" s="274"/>
    </row>
    <row r="175" spans="1:4" ht="12">
      <c r="A175" s="37" t="s">
        <v>1137</v>
      </c>
      <c r="C175" s="274">
        <v>283263</v>
      </c>
      <c r="D175" s="274"/>
    </row>
    <row r="176" spans="1:4" ht="12">
      <c r="A176" s="37" t="s">
        <v>1138</v>
      </c>
      <c r="C176" s="274">
        <f>SUM(C173:C175)</f>
        <v>5206185</v>
      </c>
      <c r="D176" s="274">
        <f>ROUND(C176/1000,0)</f>
        <v>5206</v>
      </c>
    </row>
    <row r="177" ht="12">
      <c r="A177" s="37" t="s">
        <v>1641</v>
      </c>
    </row>
    <row r="178" spans="1:4" ht="12">
      <c r="A178" s="37" t="s">
        <v>607</v>
      </c>
      <c r="C178" s="274">
        <v>1165000</v>
      </c>
      <c r="D178" s="274"/>
    </row>
    <row r="179" spans="1:4" ht="12">
      <c r="A179" s="37" t="s">
        <v>608</v>
      </c>
      <c r="C179" s="274">
        <v>1200000</v>
      </c>
      <c r="D179" s="274"/>
    </row>
    <row r="180" spans="1:4" ht="12">
      <c r="A180" s="37" t="s">
        <v>609</v>
      </c>
      <c r="C180" s="274">
        <v>270000</v>
      </c>
      <c r="D180" s="274"/>
    </row>
    <row r="181" spans="1:4" ht="12">
      <c r="A181" s="37" t="s">
        <v>1641</v>
      </c>
      <c r="C181" s="274">
        <v>2740000</v>
      </c>
      <c r="D181" s="274">
        <f>ROUND(C181/1000,0)</f>
        <v>2740</v>
      </c>
    </row>
    <row r="183" spans="1:4" s="61" customFormat="1" ht="12">
      <c r="A183" s="61" t="s">
        <v>1447</v>
      </c>
      <c r="B183" s="226"/>
      <c r="C183" s="345">
        <f>C172+C181+C176</f>
        <v>9246185</v>
      </c>
      <c r="D183" s="226">
        <f>D172+D181+D176</f>
        <v>9246</v>
      </c>
    </row>
    <row r="184" spans="2:4" s="61" customFormat="1" ht="12">
      <c r="B184" s="226"/>
      <c r="C184" s="226"/>
      <c r="D184" s="226"/>
    </row>
    <row r="185" spans="1:4" ht="12">
      <c r="A185" s="37" t="s">
        <v>1449</v>
      </c>
      <c r="C185" s="341">
        <v>4000000</v>
      </c>
      <c r="D185" s="274">
        <f>ROUND(C185/1000,0)</f>
        <v>4000</v>
      </c>
    </row>
    <row r="187" spans="1:4" s="61" customFormat="1" ht="12">
      <c r="A187" s="61" t="s">
        <v>999</v>
      </c>
      <c r="B187" s="226"/>
      <c r="C187" s="226">
        <f>C25+C32+C42+C94+C115+C163+C183+C185+C43</f>
        <v>55338626</v>
      </c>
      <c r="D187" s="226">
        <f>D25+D32+D42+D94+D115+D163+D183+D185+D43</f>
        <v>55339</v>
      </c>
    </row>
    <row r="189" ht="12">
      <c r="A189" s="37" t="s">
        <v>1481</v>
      </c>
    </row>
    <row r="190" spans="1:4" ht="12">
      <c r="A190" s="37" t="s">
        <v>610</v>
      </c>
      <c r="C190" s="341">
        <v>2333000</v>
      </c>
      <c r="D190" s="274">
        <f>ROUND(C190/1000,0)</f>
        <v>2333</v>
      </c>
    </row>
    <row r="193" spans="1:4" ht="12">
      <c r="A193" s="37" t="s">
        <v>554</v>
      </c>
      <c r="C193" s="274">
        <f>C36+C39+C41+C190</f>
        <v>3476108</v>
      </c>
      <c r="D193" s="274">
        <f>D36+D39+D41+D190</f>
        <v>3476</v>
      </c>
    </row>
    <row r="195" spans="1:4" s="145" customFormat="1" ht="12">
      <c r="A195" s="145" t="s">
        <v>1642</v>
      </c>
      <c r="B195" s="241"/>
      <c r="C195" s="241">
        <f>C25+C32+C36+C39+C43+C94+C115+C163+C183+C190</f>
        <v>54214734</v>
      </c>
      <c r="D195" s="241">
        <f>D25+D32+D36+D39+D43+D94+D115+D163+D183+D190</f>
        <v>54215</v>
      </c>
    </row>
    <row r="197" ht="12">
      <c r="C197" s="55">
        <f>C11+C12+C13+C15+C16+C19+C20+C21+C22+C23+C29+C30+C34+C35+C38+C42+C43+C51+C52+C53+C56+C57+C64+C70+C74+C78+C85+C86+C91+C98+C100+C102+C106+C110+C113+C120+C121+C122+C123+C127+C131+C132+C133+C135+C136+C137+C138+C139+C140+C141+C142+C147+C151+C152+C159+C172+C173+C174+C175+C178+C179+C180+C185+C190</f>
        <v>58756534</v>
      </c>
    </row>
    <row r="198" ht="12">
      <c r="C198" s="55">
        <f>C25+C32+C36+C39+C42+C43+C60+C80+C92+C98+C100+C102+C106+C110+C113+C128+C143+C148+C154+C159+C183+C185+C190</f>
        <v>58641764</v>
      </c>
    </row>
  </sheetData>
  <sheetProtection/>
  <mergeCells count="1">
    <mergeCell ref="A4:D4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2008. ÉVI KÖLTSÉGVETÉSE&amp;R&amp;"Arial,Dőlt"&amp;8Hivatal</oddHeader>
    <oddFooter>&amp;C&amp;"Arial,Dőlt"&amp;8&amp;P. oldal</oddFooter>
  </headerFooter>
  <rowBreaks count="2" manualBreakCount="2">
    <brk id="65" max="255" man="1"/>
    <brk id="12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9">
      <selection activeCell="A59" sqref="A59"/>
    </sheetView>
  </sheetViews>
  <sheetFormatPr defaultColWidth="9.00390625" defaultRowHeight="12.75"/>
  <cols>
    <col min="1" max="1" width="44.75390625" style="1" bestFit="1" customWidth="1"/>
    <col min="2" max="2" width="9.125" style="11" customWidth="1"/>
    <col min="3" max="3" width="10.25390625" style="11" customWidth="1"/>
    <col min="4" max="4" width="10.00390625" style="11" customWidth="1"/>
    <col min="5" max="16384" width="9.125" style="1" customWidth="1"/>
  </cols>
  <sheetData>
    <row r="2" spans="2:4" ht="12.75">
      <c r="B2" s="11" t="s">
        <v>1587</v>
      </c>
      <c r="C2" s="11" t="s">
        <v>1588</v>
      </c>
      <c r="D2" s="11" t="s">
        <v>1589</v>
      </c>
    </row>
    <row r="3" spans="2:3" ht="12.75">
      <c r="B3" s="519" t="s">
        <v>1372</v>
      </c>
      <c r="C3" s="519"/>
    </row>
    <row r="5" ht="12.75">
      <c r="A5" s="1" t="s">
        <v>1590</v>
      </c>
    </row>
    <row r="7" spans="1:4" ht="12.75">
      <c r="A7" s="1" t="s">
        <v>1591</v>
      </c>
      <c r="B7" s="11">
        <v>4</v>
      </c>
      <c r="C7" s="11">
        <v>4</v>
      </c>
      <c r="D7" s="11">
        <v>15</v>
      </c>
    </row>
    <row r="8" spans="1:4" ht="12.75">
      <c r="A8" s="1" t="s">
        <v>1592</v>
      </c>
      <c r="B8" s="11">
        <v>60</v>
      </c>
      <c r="C8" s="11">
        <v>60</v>
      </c>
      <c r="D8" s="11">
        <v>53</v>
      </c>
    </row>
    <row r="9" spans="1:4" ht="12.75">
      <c r="A9" s="1" t="s">
        <v>1635</v>
      </c>
      <c r="B9" s="11">
        <v>36</v>
      </c>
      <c r="C9" s="11">
        <v>36</v>
      </c>
      <c r="D9" s="11">
        <v>9</v>
      </c>
    </row>
    <row r="10" spans="1:4" s="62" customFormat="1" ht="12.75">
      <c r="A10" s="62" t="s">
        <v>1593</v>
      </c>
      <c r="B10" s="64">
        <f>SUM(B7:B9)</f>
        <v>100</v>
      </c>
      <c r="C10" s="64">
        <f>SUM(C7:C9)</f>
        <v>100</v>
      </c>
      <c r="D10" s="64">
        <f>SUM(D7:D9)</f>
        <v>77</v>
      </c>
    </row>
    <row r="12" spans="1:4" s="62" customFormat="1" ht="12.75">
      <c r="A12" s="62" t="s">
        <v>1594</v>
      </c>
      <c r="B12" s="64"/>
      <c r="C12" s="64"/>
      <c r="D12" s="64">
        <v>77</v>
      </c>
    </row>
    <row r="14" spans="1:3" ht="12.75">
      <c r="A14" s="1" t="s">
        <v>1595</v>
      </c>
      <c r="B14" s="11">
        <v>600</v>
      </c>
      <c r="C14" s="11">
        <v>300</v>
      </c>
    </row>
    <row r="15" spans="1:4" ht="12.75">
      <c r="A15" s="1" t="s">
        <v>1596</v>
      </c>
      <c r="B15" s="11">
        <v>900</v>
      </c>
      <c r="C15" s="11">
        <v>430</v>
      </c>
      <c r="D15" s="11">
        <v>311</v>
      </c>
    </row>
    <row r="16" spans="1:3" ht="12.75">
      <c r="A16" s="1" t="s">
        <v>1597</v>
      </c>
      <c r="B16" s="11">
        <v>80</v>
      </c>
      <c r="C16" s="11">
        <v>80</v>
      </c>
    </row>
    <row r="17" spans="1:3" ht="12.75">
      <c r="A17" s="1" t="s">
        <v>1598</v>
      </c>
      <c r="B17" s="11">
        <v>150</v>
      </c>
      <c r="C17" s="11">
        <v>150</v>
      </c>
    </row>
    <row r="18" spans="1:3" ht="12.75">
      <c r="A18" s="1" t="s">
        <v>1599</v>
      </c>
      <c r="B18" s="11">
        <v>20</v>
      </c>
      <c r="C18" s="11">
        <v>20</v>
      </c>
    </row>
    <row r="19" spans="1:4" s="62" customFormat="1" ht="12.75">
      <c r="A19" s="62" t="s">
        <v>1600</v>
      </c>
      <c r="B19" s="64">
        <f>SUM(B14:B18)</f>
        <v>1750</v>
      </c>
      <c r="C19" s="64">
        <f>SUM(C14:C18)</f>
        <v>980</v>
      </c>
      <c r="D19" s="64">
        <f>SUM(D14:D18)</f>
        <v>311</v>
      </c>
    </row>
    <row r="21" spans="1:4" s="62" customFormat="1" ht="12.75">
      <c r="A21" s="62" t="s">
        <v>1601</v>
      </c>
      <c r="B21" s="64">
        <v>1750</v>
      </c>
      <c r="C21" s="64">
        <v>980</v>
      </c>
      <c r="D21" s="64">
        <v>311</v>
      </c>
    </row>
    <row r="23" spans="1:4" s="12" customFormat="1" ht="12.75">
      <c r="A23" s="12" t="s">
        <v>1602</v>
      </c>
      <c r="B23" s="74"/>
      <c r="C23" s="74"/>
      <c r="D23" s="74"/>
    </row>
    <row r="25" spans="1:4" ht="12.75">
      <c r="A25" s="1" t="s">
        <v>553</v>
      </c>
      <c r="B25" s="11">
        <v>500</v>
      </c>
      <c r="C25" s="11">
        <v>500</v>
      </c>
      <c r="D25" s="11">
        <v>300</v>
      </c>
    </row>
    <row r="26" spans="1:4" s="62" customFormat="1" ht="12.75">
      <c r="A26" s="62" t="s">
        <v>1603</v>
      </c>
      <c r="B26" s="64">
        <f>SUM(B25)</f>
        <v>500</v>
      </c>
      <c r="C26" s="64">
        <f>SUM(C25)</f>
        <v>500</v>
      </c>
      <c r="D26" s="64">
        <f>SUM(D25)</f>
        <v>300</v>
      </c>
    </row>
    <row r="28" spans="1:4" s="62" customFormat="1" ht="12.75">
      <c r="A28" s="62" t="s">
        <v>1604</v>
      </c>
      <c r="B28" s="64"/>
      <c r="C28" s="64"/>
      <c r="D28" s="64">
        <v>300</v>
      </c>
    </row>
    <row r="29" spans="2:4" s="62" customFormat="1" ht="12.75">
      <c r="B29" s="64"/>
      <c r="C29" s="64"/>
      <c r="D29" s="64"/>
    </row>
    <row r="30" spans="1:3" ht="12.75">
      <c r="A30" s="1" t="s">
        <v>592</v>
      </c>
      <c r="C30" s="11">
        <v>770</v>
      </c>
    </row>
    <row r="31" spans="1:4" s="62" customFormat="1" ht="12.75">
      <c r="A31" s="62" t="s">
        <v>1600</v>
      </c>
      <c r="B31" s="64"/>
      <c r="C31" s="64">
        <f>SUM(C30)</f>
        <v>770</v>
      </c>
      <c r="D31" s="64">
        <f>SUM(D30)</f>
        <v>0</v>
      </c>
    </row>
    <row r="32" spans="2:4" s="62" customFormat="1" ht="12.75">
      <c r="B32" s="64"/>
      <c r="C32" s="64"/>
      <c r="D32" s="64"/>
    </row>
    <row r="33" spans="1:4" s="62" customFormat="1" ht="12.75">
      <c r="A33" s="62" t="s">
        <v>593</v>
      </c>
      <c r="B33" s="64"/>
      <c r="C33" s="64"/>
      <c r="D33" s="64">
        <v>0</v>
      </c>
    </row>
    <row r="35" ht="12.75">
      <c r="A35" s="12" t="s">
        <v>1605</v>
      </c>
    </row>
    <row r="36" ht="12.75">
      <c r="A36" s="12"/>
    </row>
    <row r="37" spans="1:4" ht="12.75">
      <c r="A37" s="1" t="s">
        <v>594</v>
      </c>
      <c r="B37" s="11">
        <v>10</v>
      </c>
      <c r="C37" s="11">
        <v>10</v>
      </c>
      <c r="D37" s="11">
        <v>4</v>
      </c>
    </row>
    <row r="38" spans="1:4" ht="12.75">
      <c r="A38" s="1" t="s">
        <v>595</v>
      </c>
      <c r="D38" s="11">
        <v>32</v>
      </c>
    </row>
    <row r="39" spans="1:4" s="62" customFormat="1" ht="12.75">
      <c r="A39" s="62" t="s">
        <v>1606</v>
      </c>
      <c r="B39" s="64">
        <f>SUM(B37:B38)</f>
        <v>10</v>
      </c>
      <c r="C39" s="64">
        <f>SUM(C37:C38)</f>
        <v>10</v>
      </c>
      <c r="D39" s="64">
        <f>SUM(D37:D38)</f>
        <v>36</v>
      </c>
    </row>
    <row r="41" spans="1:4" s="62" customFormat="1" ht="12.75">
      <c r="A41" s="62" t="s">
        <v>1607</v>
      </c>
      <c r="B41" s="64"/>
      <c r="C41" s="64"/>
      <c r="D41" s="64">
        <v>36</v>
      </c>
    </row>
    <row r="43" spans="1:4" ht="12.75">
      <c r="A43" s="1" t="s">
        <v>1636</v>
      </c>
      <c r="B43" s="11">
        <v>5650</v>
      </c>
      <c r="C43" s="11">
        <v>5650</v>
      </c>
      <c r="D43" s="11">
        <v>3650</v>
      </c>
    </row>
    <row r="44" spans="1:4" ht="12.75">
      <c r="A44" s="1" t="s">
        <v>1637</v>
      </c>
      <c r="B44" s="11">
        <v>2023</v>
      </c>
      <c r="C44" s="11">
        <v>2023</v>
      </c>
      <c r="D44" s="11">
        <v>1157</v>
      </c>
    </row>
    <row r="45" spans="1:4" ht="12.75">
      <c r="A45" s="1" t="s">
        <v>1608</v>
      </c>
      <c r="B45" s="11">
        <v>231</v>
      </c>
      <c r="C45" s="11">
        <v>231</v>
      </c>
      <c r="D45" s="11">
        <v>231</v>
      </c>
    </row>
    <row r="46" spans="1:4" ht="12.75">
      <c r="A46" s="1" t="s">
        <v>596</v>
      </c>
      <c r="D46" s="11">
        <v>177</v>
      </c>
    </row>
    <row r="47" spans="1:4" ht="12.75">
      <c r="A47" s="1" t="s">
        <v>1632</v>
      </c>
      <c r="B47" s="11">
        <v>2000</v>
      </c>
      <c r="C47" s="11">
        <v>2000</v>
      </c>
      <c r="D47" s="11">
        <v>1428</v>
      </c>
    </row>
    <row r="49" spans="1:4" s="62" customFormat="1" ht="12.75">
      <c r="A49" s="62" t="s">
        <v>1633</v>
      </c>
      <c r="B49" s="64">
        <f>SUM(B43:B48)</f>
        <v>9904</v>
      </c>
      <c r="C49" s="64">
        <f>SUM(C43:C48)</f>
        <v>9904</v>
      </c>
      <c r="D49" s="64">
        <f>SUM(D43:D48)</f>
        <v>6643</v>
      </c>
    </row>
    <row r="51" spans="1:4" s="62" customFormat="1" ht="12.75">
      <c r="A51" s="62" t="s">
        <v>1634</v>
      </c>
      <c r="B51" s="64"/>
      <c r="C51" s="64"/>
      <c r="D51" s="64">
        <v>6643</v>
      </c>
    </row>
    <row r="53" spans="1:4" ht="12.75">
      <c r="A53" s="1" t="s">
        <v>597</v>
      </c>
      <c r="B53" s="11">
        <v>0</v>
      </c>
      <c r="D53" s="11">
        <v>426</v>
      </c>
    </row>
    <row r="54" spans="1:4" s="62" customFormat="1" ht="12.75">
      <c r="A54" s="62" t="s">
        <v>1633</v>
      </c>
      <c r="B54" s="64">
        <f>SUM(B53)</f>
        <v>0</v>
      </c>
      <c r="C54" s="64">
        <f>SUM(C53)</f>
        <v>0</v>
      </c>
      <c r="D54" s="64">
        <f>SUM(D53)</f>
        <v>426</v>
      </c>
    </row>
    <row r="55" spans="2:4" s="62" customFormat="1" ht="12.75">
      <c r="B55" s="64"/>
      <c r="C55" s="64"/>
      <c r="D55" s="64"/>
    </row>
    <row r="56" spans="1:4" s="62" customFormat="1" ht="12.75">
      <c r="A56" s="62" t="s">
        <v>598</v>
      </c>
      <c r="B56" s="64"/>
      <c r="C56" s="64"/>
      <c r="D56" s="64">
        <v>426</v>
      </c>
    </row>
    <row r="58" ht="12.75">
      <c r="A58" s="1" t="s">
        <v>695</v>
      </c>
    </row>
  </sheetData>
  <sheetProtection/>
  <mergeCells count="1">
    <mergeCell ref="B3:C3"/>
  </mergeCells>
  <printOptions/>
  <pageMargins left="0.75" right="0.75" top="1" bottom="0.5" header="0.25" footer="0.24"/>
  <pageSetup horizontalDpi="600" verticalDpi="600" orientation="portrait" paperSize="9" r:id="rId1"/>
  <headerFooter alignWithMargins="0">
    <oddHeader xml:space="preserve">&amp;C&amp;"Arial,Félkövér dőlt"&amp;11
KIMUTATÁS TISZAGYULAHÁZA KÖZSÉG 2005.ÉVI ÁTADOTT - ÁTVETT PÉNZESZKÖZEIRŐL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D93"/>
  <sheetViews>
    <sheetView zoomScalePageLayoutView="0" workbookViewId="0" topLeftCell="A1">
      <pane xSplit="1" ySplit="1" topLeftCell="Z7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93" sqref="AE93"/>
    </sheetView>
  </sheetViews>
  <sheetFormatPr defaultColWidth="9.00390625" defaultRowHeight="12.75"/>
  <cols>
    <col min="1" max="1" width="42.125" style="37" bestFit="1" customWidth="1"/>
    <col min="2" max="2" width="10.00390625" style="55" bestFit="1" customWidth="1"/>
    <col min="3" max="3" width="10.00390625" style="55" customWidth="1"/>
    <col min="4" max="4" width="10.00390625" style="55" bestFit="1" customWidth="1"/>
    <col min="5" max="5" width="10.00390625" style="55" customWidth="1"/>
    <col min="6" max="19" width="9.125" style="55" customWidth="1"/>
    <col min="20" max="20" width="10.375" style="55" bestFit="1" customWidth="1"/>
    <col min="21" max="26" width="9.125" style="55" customWidth="1"/>
    <col min="27" max="27" width="11.00390625" style="55" bestFit="1" customWidth="1"/>
    <col min="28" max="28" width="9.125" style="55" customWidth="1"/>
    <col min="29" max="29" width="11.125" style="55" bestFit="1" customWidth="1"/>
    <col min="30" max="30" width="10.375" style="55" bestFit="1" customWidth="1"/>
    <col min="31" max="16384" width="9.125" style="37" customWidth="1"/>
  </cols>
  <sheetData>
    <row r="1" spans="1:30" ht="56.25" customHeight="1">
      <c r="A1" s="115" t="s">
        <v>908</v>
      </c>
      <c r="B1" s="305" t="s">
        <v>1057</v>
      </c>
      <c r="C1" s="117" t="s">
        <v>1</v>
      </c>
      <c r="D1" s="315" t="s">
        <v>570</v>
      </c>
      <c r="E1" s="119" t="s">
        <v>123</v>
      </c>
      <c r="F1" s="117"/>
      <c r="G1" s="117" t="s">
        <v>125</v>
      </c>
      <c r="H1" s="282" t="s">
        <v>475</v>
      </c>
      <c r="I1" s="117" t="s">
        <v>126</v>
      </c>
      <c r="J1" s="305" t="s">
        <v>127</v>
      </c>
      <c r="K1" s="305" t="s">
        <v>128</v>
      </c>
      <c r="L1" s="117" t="s">
        <v>129</v>
      </c>
      <c r="M1" s="117" t="s">
        <v>130</v>
      </c>
      <c r="N1" s="129" t="s">
        <v>476</v>
      </c>
      <c r="O1" s="305" t="s">
        <v>131</v>
      </c>
      <c r="P1" s="301" t="s">
        <v>132</v>
      </c>
      <c r="Q1" s="334" t="s">
        <v>133</v>
      </c>
      <c r="R1" s="172"/>
      <c r="S1" s="117" t="s">
        <v>134</v>
      </c>
      <c r="T1" s="305">
        <v>853344</v>
      </c>
      <c r="U1" s="119" t="s">
        <v>477</v>
      </c>
      <c r="V1" s="302" t="s">
        <v>135</v>
      </c>
      <c r="W1" s="302" t="s">
        <v>136</v>
      </c>
      <c r="X1" s="305" t="s">
        <v>137</v>
      </c>
      <c r="Y1" s="119" t="s">
        <v>478</v>
      </c>
      <c r="Z1" s="117" t="s">
        <v>138</v>
      </c>
      <c r="AA1" s="302" t="s">
        <v>139</v>
      </c>
      <c r="AB1" s="117" t="s">
        <v>140</v>
      </c>
      <c r="AC1" s="119" t="s">
        <v>479</v>
      </c>
      <c r="AD1" s="130" t="s">
        <v>141</v>
      </c>
    </row>
    <row r="2" spans="1:30" ht="12">
      <c r="A2" s="115" t="s">
        <v>142</v>
      </c>
      <c r="B2" s="117">
        <v>0</v>
      </c>
      <c r="C2" s="117"/>
      <c r="D2" s="117"/>
      <c r="E2" s="120">
        <f>SUM(B2:D2)</f>
        <v>0</v>
      </c>
      <c r="F2" s="117">
        <v>0</v>
      </c>
      <c r="G2" s="117"/>
      <c r="H2" s="120">
        <f>SUM(F2:G2)</f>
        <v>0</v>
      </c>
      <c r="I2" s="117">
        <v>0</v>
      </c>
      <c r="J2" s="117"/>
      <c r="K2" s="117"/>
      <c r="L2" s="117"/>
      <c r="M2" s="117"/>
      <c r="N2" s="120">
        <f>SUM(I2:M2)</f>
        <v>0</v>
      </c>
      <c r="O2" s="117">
        <v>0</v>
      </c>
      <c r="P2" s="117"/>
      <c r="Q2" s="117"/>
      <c r="R2" s="117"/>
      <c r="S2" s="117"/>
      <c r="T2" s="305"/>
      <c r="U2" s="120">
        <f>SUM(O2:T2)</f>
        <v>0</v>
      </c>
      <c r="V2" s="117">
        <f>bev!$D$167</f>
        <v>597</v>
      </c>
      <c r="W2" s="117">
        <f>bev!$D$202</f>
        <v>2476</v>
      </c>
      <c r="X2" s="117"/>
      <c r="Y2" s="120">
        <f>SUM(V2:X2)</f>
        <v>3073</v>
      </c>
      <c r="Z2" s="117">
        <v>0</v>
      </c>
      <c r="AA2" s="117"/>
      <c r="AB2" s="117"/>
      <c r="AC2" s="120">
        <f>SUM(Z2:AB2)</f>
        <v>0</v>
      </c>
      <c r="AD2" s="346">
        <f>E2+H2+N2+U2+Y2+AC2</f>
        <v>3073</v>
      </c>
    </row>
    <row r="3" spans="1:30" ht="12">
      <c r="A3" s="115" t="s">
        <v>143</v>
      </c>
      <c r="B3" s="117"/>
      <c r="C3" s="117"/>
      <c r="D3" s="117"/>
      <c r="E3" s="120">
        <f>SUM(B3:D3)</f>
        <v>0</v>
      </c>
      <c r="F3" s="117"/>
      <c r="G3" s="117"/>
      <c r="H3" s="120">
        <f>SUM(F3:G3)</f>
        <v>0</v>
      </c>
      <c r="I3" s="117"/>
      <c r="J3" s="117"/>
      <c r="K3" s="117"/>
      <c r="L3" s="117"/>
      <c r="M3" s="117"/>
      <c r="N3" s="120">
        <f>SUM(I3:M3)</f>
        <v>0</v>
      </c>
      <c r="O3" s="117"/>
      <c r="P3" s="117"/>
      <c r="Q3" s="117"/>
      <c r="R3" s="117"/>
      <c r="S3" s="117"/>
      <c r="T3" s="305"/>
      <c r="U3" s="120">
        <f>SUM(O3:T3)</f>
        <v>0</v>
      </c>
      <c r="V3" s="117"/>
      <c r="W3" s="117"/>
      <c r="X3" s="117"/>
      <c r="Y3" s="120">
        <f>SUM(V3:X3)</f>
        <v>0</v>
      </c>
      <c r="Z3" s="117"/>
      <c r="AA3" s="117"/>
      <c r="AB3" s="117"/>
      <c r="AC3" s="120">
        <f>SUM(Z3:AB3)</f>
        <v>0</v>
      </c>
      <c r="AD3" s="346">
        <f>E3+H3+N3+U3+Y3+AC3</f>
        <v>0</v>
      </c>
    </row>
    <row r="4" spans="1:30" ht="12">
      <c r="A4" s="115" t="s">
        <v>144</v>
      </c>
      <c r="B4" s="117"/>
      <c r="C4" s="117"/>
      <c r="D4" s="117"/>
      <c r="E4" s="120">
        <f>SUM(B4:D4)</f>
        <v>0</v>
      </c>
      <c r="F4" s="117"/>
      <c r="G4" s="117"/>
      <c r="H4" s="120">
        <f>SUM(F4:G4)</f>
        <v>0</v>
      </c>
      <c r="I4" s="117"/>
      <c r="J4" s="117"/>
      <c r="K4" s="117"/>
      <c r="L4" s="117"/>
      <c r="M4" s="117"/>
      <c r="N4" s="120">
        <f>SUM(I4:M4)</f>
        <v>0</v>
      </c>
      <c r="O4" s="117"/>
      <c r="P4" s="117"/>
      <c r="Q4" s="117"/>
      <c r="R4" s="117"/>
      <c r="S4" s="117"/>
      <c r="T4" s="305"/>
      <c r="U4" s="120">
        <f>SUM(O4:T4)</f>
        <v>0</v>
      </c>
      <c r="V4" s="117"/>
      <c r="W4" s="117"/>
      <c r="X4" s="117"/>
      <c r="Y4" s="120">
        <f>SUM(V4:X4)</f>
        <v>0</v>
      </c>
      <c r="Z4" s="117"/>
      <c r="AA4" s="117"/>
      <c r="AB4" s="117"/>
      <c r="AC4" s="120">
        <f>SUM(Z4:AB4)</f>
        <v>0</v>
      </c>
      <c r="AD4" s="346">
        <f>E4+H4+N4+U4+Y4+AC4</f>
        <v>0</v>
      </c>
    </row>
    <row r="5" spans="1:30" ht="12">
      <c r="A5" s="115" t="s">
        <v>145</v>
      </c>
      <c r="B5" s="117">
        <v>173</v>
      </c>
      <c r="C5" s="117"/>
      <c r="D5" s="117"/>
      <c r="E5" s="120">
        <f>SUM(B5:D5)</f>
        <v>173</v>
      </c>
      <c r="F5" s="117"/>
      <c r="G5" s="117"/>
      <c r="H5" s="120">
        <f>SUM(F5:G5)</f>
        <v>0</v>
      </c>
      <c r="I5" s="117"/>
      <c r="J5" s="117"/>
      <c r="K5" s="117"/>
      <c r="L5" s="117"/>
      <c r="M5" s="117"/>
      <c r="N5" s="120">
        <f>SUM(I5:M5)</f>
        <v>0</v>
      </c>
      <c r="O5" s="117"/>
      <c r="P5" s="117"/>
      <c r="Q5" s="117"/>
      <c r="R5" s="117"/>
      <c r="S5" s="117"/>
      <c r="T5" s="305"/>
      <c r="U5" s="120">
        <f>SUM(O5:T5)</f>
        <v>0</v>
      </c>
      <c r="V5" s="117"/>
      <c r="W5" s="117"/>
      <c r="X5" s="117">
        <f>bev!$D$258</f>
        <v>3422</v>
      </c>
      <c r="Y5" s="120">
        <f>SUM(V5:X5)</f>
        <v>3422</v>
      </c>
      <c r="Z5" s="117"/>
      <c r="AA5" s="117"/>
      <c r="AB5" s="117">
        <f>bev!$D$373</f>
        <v>0</v>
      </c>
      <c r="AC5" s="120">
        <f>SUM(Z5:AB5)</f>
        <v>0</v>
      </c>
      <c r="AD5" s="346">
        <f>E5+H5+N5+U5+Y5+AC5</f>
        <v>3595</v>
      </c>
    </row>
    <row r="6" spans="1:30" ht="12">
      <c r="A6" s="121" t="s">
        <v>146</v>
      </c>
      <c r="B6" s="122">
        <f aca="true" t="shared" si="0" ref="B6:AD6">SUM(B2:B5)</f>
        <v>173</v>
      </c>
      <c r="C6" s="122"/>
      <c r="D6" s="122">
        <f t="shared" si="0"/>
        <v>0</v>
      </c>
      <c r="E6" s="122">
        <f t="shared" si="0"/>
        <v>173</v>
      </c>
      <c r="F6" s="122">
        <f t="shared" si="0"/>
        <v>0</v>
      </c>
      <c r="G6" s="122">
        <f t="shared" si="0"/>
        <v>0</v>
      </c>
      <c r="H6" s="122">
        <f t="shared" si="0"/>
        <v>0</v>
      </c>
      <c r="I6" s="122">
        <f t="shared" si="0"/>
        <v>0</v>
      </c>
      <c r="J6" s="122">
        <f t="shared" si="0"/>
        <v>0</v>
      </c>
      <c r="K6" s="122">
        <f t="shared" si="0"/>
        <v>0</v>
      </c>
      <c r="L6" s="122">
        <f t="shared" si="0"/>
        <v>0</v>
      </c>
      <c r="M6" s="122">
        <f t="shared" si="0"/>
        <v>0</v>
      </c>
      <c r="N6" s="122">
        <f t="shared" si="0"/>
        <v>0</v>
      </c>
      <c r="O6" s="122">
        <f t="shared" si="0"/>
        <v>0</v>
      </c>
      <c r="P6" s="122">
        <f t="shared" si="0"/>
        <v>0</v>
      </c>
      <c r="Q6" s="122">
        <f t="shared" si="0"/>
        <v>0</v>
      </c>
      <c r="R6" s="122">
        <f t="shared" si="0"/>
        <v>0</v>
      </c>
      <c r="S6" s="122">
        <f t="shared" si="0"/>
        <v>0</v>
      </c>
      <c r="T6" s="307">
        <f t="shared" si="0"/>
        <v>0</v>
      </c>
      <c r="U6" s="122">
        <f t="shared" si="0"/>
        <v>0</v>
      </c>
      <c r="V6" s="122">
        <f t="shared" si="0"/>
        <v>597</v>
      </c>
      <c r="W6" s="122">
        <f t="shared" si="0"/>
        <v>2476</v>
      </c>
      <c r="X6" s="122">
        <f t="shared" si="0"/>
        <v>3422</v>
      </c>
      <c r="Y6" s="122">
        <f t="shared" si="0"/>
        <v>6495</v>
      </c>
      <c r="Z6" s="122">
        <f t="shared" si="0"/>
        <v>0</v>
      </c>
      <c r="AA6" s="122">
        <f t="shared" si="0"/>
        <v>0</v>
      </c>
      <c r="AB6" s="122">
        <f t="shared" si="0"/>
        <v>0</v>
      </c>
      <c r="AC6" s="122">
        <f t="shared" si="0"/>
        <v>0</v>
      </c>
      <c r="AD6" s="307">
        <f t="shared" si="0"/>
        <v>6668</v>
      </c>
    </row>
    <row r="7" spans="1:30" ht="12">
      <c r="A7" s="115" t="s">
        <v>147</v>
      </c>
      <c r="B7" s="117">
        <v>0</v>
      </c>
      <c r="C7" s="117"/>
      <c r="D7" s="117"/>
      <c r="E7" s="120">
        <f>SUM(B7:D7)</f>
        <v>0</v>
      </c>
      <c r="F7" s="117"/>
      <c r="G7" s="117"/>
      <c r="H7" s="120">
        <f>SUM(F7:G7)</f>
        <v>0</v>
      </c>
      <c r="I7" s="117"/>
      <c r="J7" s="117"/>
      <c r="K7" s="117"/>
      <c r="L7" s="117"/>
      <c r="M7" s="117"/>
      <c r="N7" s="120">
        <f>SUM(I7:M7)</f>
        <v>0</v>
      </c>
      <c r="O7" s="117"/>
      <c r="P7" s="117"/>
      <c r="Q7" s="117"/>
      <c r="R7" s="117"/>
      <c r="S7" s="117"/>
      <c r="T7" s="305"/>
      <c r="U7" s="120">
        <f>SUM(O7:T7)</f>
        <v>0</v>
      </c>
      <c r="V7" s="117"/>
      <c r="W7" s="117"/>
      <c r="X7" s="117"/>
      <c r="Y7" s="120">
        <f>SUM(V7:X7)</f>
        <v>0</v>
      </c>
      <c r="Z7" s="117"/>
      <c r="AA7" s="117"/>
      <c r="AB7" s="117"/>
      <c r="AC7" s="120">
        <f>SUM(Z7:AB7)</f>
        <v>0</v>
      </c>
      <c r="AD7" s="346">
        <f>E7+H7+N7+U7+Y7+AC7</f>
        <v>0</v>
      </c>
    </row>
    <row r="8" spans="1:30" ht="12">
      <c r="A8" s="115" t="s">
        <v>148</v>
      </c>
      <c r="B8" s="117"/>
      <c r="C8" s="117"/>
      <c r="D8" s="117"/>
      <c r="E8" s="120">
        <f>SUM(B8:D8)</f>
        <v>0</v>
      </c>
      <c r="F8" s="117"/>
      <c r="G8" s="117"/>
      <c r="H8" s="120">
        <f>SUM(F8:G8)</f>
        <v>0</v>
      </c>
      <c r="I8" s="117"/>
      <c r="J8" s="117"/>
      <c r="K8" s="117"/>
      <c r="L8" s="117"/>
      <c r="M8" s="117"/>
      <c r="N8" s="120">
        <f>SUM(I8:M8)</f>
        <v>0</v>
      </c>
      <c r="O8" s="117"/>
      <c r="P8" s="117"/>
      <c r="Q8" s="117"/>
      <c r="R8" s="117"/>
      <c r="S8" s="117"/>
      <c r="T8" s="305"/>
      <c r="U8" s="120">
        <f>SUM(O8:T8)</f>
        <v>0</v>
      </c>
      <c r="V8" s="117"/>
      <c r="W8" s="117"/>
      <c r="X8" s="117"/>
      <c r="Y8" s="120">
        <f>SUM(V8:X8)</f>
        <v>0</v>
      </c>
      <c r="Z8" s="117"/>
      <c r="AA8" s="117"/>
      <c r="AB8" s="117"/>
      <c r="AC8" s="120">
        <f>SUM(Z8:AB8)</f>
        <v>0</v>
      </c>
      <c r="AD8" s="346">
        <f>E8+H8+N8+U8+Y8+AC8</f>
        <v>0</v>
      </c>
    </row>
    <row r="9" spans="1:30" ht="12">
      <c r="A9" s="115" t="s">
        <v>149</v>
      </c>
      <c r="B9" s="117"/>
      <c r="C9" s="117"/>
      <c r="D9" s="117"/>
      <c r="E9" s="120">
        <f>SUM(B9:D9)</f>
        <v>0</v>
      </c>
      <c r="F9" s="117"/>
      <c r="G9" s="117"/>
      <c r="H9" s="120">
        <f>SUM(F9:G9)</f>
        <v>0</v>
      </c>
      <c r="I9" s="117"/>
      <c r="J9" s="117"/>
      <c r="K9" s="117"/>
      <c r="L9" s="117"/>
      <c r="M9" s="117"/>
      <c r="N9" s="120">
        <f>SUM(I9:M9)</f>
        <v>0</v>
      </c>
      <c r="O9" s="117"/>
      <c r="P9" s="117"/>
      <c r="Q9" s="117"/>
      <c r="R9" s="117"/>
      <c r="S9" s="117"/>
      <c r="T9" s="305"/>
      <c r="U9" s="120">
        <f>SUM(O9:T9)</f>
        <v>0</v>
      </c>
      <c r="V9" s="117"/>
      <c r="W9" s="117"/>
      <c r="X9" s="117"/>
      <c r="Y9" s="120">
        <f>SUM(V9:X9)</f>
        <v>0</v>
      </c>
      <c r="Z9" s="117"/>
      <c r="AA9" s="117"/>
      <c r="AB9" s="117"/>
      <c r="AC9" s="120">
        <f>SUM(Z9:AB9)</f>
        <v>0</v>
      </c>
      <c r="AD9" s="346">
        <f>E9+H9+N9+U9+Y9+AC9</f>
        <v>0</v>
      </c>
    </row>
    <row r="10" spans="1:30" ht="12">
      <c r="A10" s="121" t="s">
        <v>150</v>
      </c>
      <c r="B10" s="122">
        <f aca="true" t="shared" si="1" ref="B10:AD10">SUM(B7:B9)</f>
        <v>0</v>
      </c>
      <c r="C10" s="122"/>
      <c r="D10" s="122">
        <f t="shared" si="1"/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 t="shared" si="1"/>
        <v>0</v>
      </c>
      <c r="I10" s="122">
        <f t="shared" si="1"/>
        <v>0</v>
      </c>
      <c r="J10" s="122">
        <f t="shared" si="1"/>
        <v>0</v>
      </c>
      <c r="K10" s="122">
        <f t="shared" si="1"/>
        <v>0</v>
      </c>
      <c r="L10" s="122">
        <f t="shared" si="1"/>
        <v>0</v>
      </c>
      <c r="M10" s="122">
        <f t="shared" si="1"/>
        <v>0</v>
      </c>
      <c r="N10" s="122">
        <f t="shared" si="1"/>
        <v>0</v>
      </c>
      <c r="O10" s="122">
        <f t="shared" si="1"/>
        <v>0</v>
      </c>
      <c r="P10" s="122">
        <f t="shared" si="1"/>
        <v>0</v>
      </c>
      <c r="Q10" s="122">
        <f t="shared" si="1"/>
        <v>0</v>
      </c>
      <c r="R10" s="122">
        <f t="shared" si="1"/>
        <v>0</v>
      </c>
      <c r="S10" s="122">
        <f t="shared" si="1"/>
        <v>0</v>
      </c>
      <c r="T10" s="307">
        <f t="shared" si="1"/>
        <v>0</v>
      </c>
      <c r="U10" s="122">
        <f t="shared" si="1"/>
        <v>0</v>
      </c>
      <c r="V10" s="122">
        <f t="shared" si="1"/>
        <v>0</v>
      </c>
      <c r="W10" s="122">
        <f t="shared" si="1"/>
        <v>0</v>
      </c>
      <c r="X10" s="122">
        <f t="shared" si="1"/>
        <v>0</v>
      </c>
      <c r="Y10" s="122">
        <f t="shared" si="1"/>
        <v>0</v>
      </c>
      <c r="Z10" s="122">
        <f t="shared" si="1"/>
        <v>0</v>
      </c>
      <c r="AA10" s="122">
        <f t="shared" si="1"/>
        <v>0</v>
      </c>
      <c r="AB10" s="122">
        <f t="shared" si="1"/>
        <v>0</v>
      </c>
      <c r="AC10" s="122">
        <f t="shared" si="1"/>
        <v>0</v>
      </c>
      <c r="AD10" s="307">
        <f t="shared" si="1"/>
        <v>0</v>
      </c>
    </row>
    <row r="11" spans="1:30" ht="12">
      <c r="A11" s="115" t="s">
        <v>151</v>
      </c>
      <c r="B11" s="117">
        <v>0</v>
      </c>
      <c r="C11" s="117"/>
      <c r="D11" s="117"/>
      <c r="E11" s="120">
        <f aca="true" t="shared" si="2" ref="E11:E17">SUM(B11:D11)</f>
        <v>0</v>
      </c>
      <c r="F11" s="117"/>
      <c r="G11" s="117"/>
      <c r="H11" s="120">
        <f aca="true" t="shared" si="3" ref="H11:H17">SUM(F11:G11)</f>
        <v>0</v>
      </c>
      <c r="I11" s="117"/>
      <c r="J11" s="117">
        <f>bev!$D$59</f>
        <v>225</v>
      </c>
      <c r="K11" s="117">
        <f>bev!$D$74</f>
        <v>5</v>
      </c>
      <c r="L11" s="117"/>
      <c r="M11" s="117"/>
      <c r="N11" s="120">
        <f aca="true" t="shared" si="4" ref="N11:N17">SUM(I11:M11)</f>
        <v>230</v>
      </c>
      <c r="O11" s="117"/>
      <c r="P11" s="117"/>
      <c r="Q11" s="117"/>
      <c r="R11" s="117"/>
      <c r="S11" s="117"/>
      <c r="T11" s="305"/>
      <c r="U11" s="120">
        <f aca="true" t="shared" si="5" ref="U11:U17">SUM(O11:T11)</f>
        <v>0</v>
      </c>
      <c r="V11" s="117"/>
      <c r="W11" s="117"/>
      <c r="X11" s="117"/>
      <c r="Y11" s="120">
        <f aca="true" t="shared" si="6" ref="Y11:Y17">SUM(V11:X11)</f>
        <v>0</v>
      </c>
      <c r="Z11" s="117"/>
      <c r="AA11" s="117"/>
      <c r="AB11" s="117"/>
      <c r="AC11" s="120">
        <f aca="true" t="shared" si="7" ref="AC11:AC17">SUM(Z11:AB11)</f>
        <v>0</v>
      </c>
      <c r="AD11" s="346">
        <f>E11+H11+N11+U11+Y11+AC11</f>
        <v>230</v>
      </c>
    </row>
    <row r="12" spans="1:30" ht="12">
      <c r="A12" s="115" t="s">
        <v>152</v>
      </c>
      <c r="B12" s="117"/>
      <c r="C12" s="117"/>
      <c r="D12" s="117"/>
      <c r="E12" s="120">
        <f t="shared" si="2"/>
        <v>0</v>
      </c>
      <c r="F12" s="117"/>
      <c r="G12" s="117"/>
      <c r="H12" s="120">
        <f t="shared" si="3"/>
        <v>0</v>
      </c>
      <c r="I12" s="117"/>
      <c r="J12" s="117"/>
      <c r="K12" s="117"/>
      <c r="L12" s="117"/>
      <c r="M12" s="117"/>
      <c r="N12" s="120">
        <f t="shared" si="4"/>
        <v>0</v>
      </c>
      <c r="O12" s="117"/>
      <c r="P12" s="117"/>
      <c r="Q12" s="117"/>
      <c r="R12" s="117"/>
      <c r="S12" s="117"/>
      <c r="T12" s="305"/>
      <c r="U12" s="120">
        <f t="shared" si="5"/>
        <v>0</v>
      </c>
      <c r="V12" s="117"/>
      <c r="W12" s="117"/>
      <c r="X12" s="117"/>
      <c r="Y12" s="120">
        <f t="shared" si="6"/>
        <v>0</v>
      </c>
      <c r="Z12" s="117"/>
      <c r="AA12" s="117"/>
      <c r="AB12" s="117"/>
      <c r="AC12" s="120">
        <f t="shared" si="7"/>
        <v>0</v>
      </c>
      <c r="AD12" s="131">
        <f aca="true" t="shared" si="8" ref="AD12:AD29">E12+H12+N12+U12+Y12+AC12</f>
        <v>0</v>
      </c>
    </row>
    <row r="13" spans="1:30" ht="12">
      <c r="A13" s="115" t="s">
        <v>153</v>
      </c>
      <c r="B13" s="117"/>
      <c r="C13" s="117"/>
      <c r="D13" s="117"/>
      <c r="E13" s="120">
        <f t="shared" si="2"/>
        <v>0</v>
      </c>
      <c r="F13" s="117"/>
      <c r="G13" s="117"/>
      <c r="H13" s="120">
        <f t="shared" si="3"/>
        <v>0</v>
      </c>
      <c r="I13" s="117"/>
      <c r="J13" s="117"/>
      <c r="K13" s="117"/>
      <c r="L13" s="117"/>
      <c r="M13" s="117"/>
      <c r="N13" s="120">
        <f t="shared" si="4"/>
        <v>0</v>
      </c>
      <c r="O13" s="117"/>
      <c r="P13" s="117"/>
      <c r="Q13" s="117"/>
      <c r="R13" s="117"/>
      <c r="S13" s="117"/>
      <c r="T13" s="305"/>
      <c r="U13" s="120">
        <f t="shared" si="5"/>
        <v>0</v>
      </c>
      <c r="V13" s="117"/>
      <c r="W13" s="117"/>
      <c r="X13" s="117"/>
      <c r="Y13" s="120">
        <f t="shared" si="6"/>
        <v>0</v>
      </c>
      <c r="Z13" s="117"/>
      <c r="AA13" s="117"/>
      <c r="AB13" s="117"/>
      <c r="AC13" s="120">
        <f t="shared" si="7"/>
        <v>0</v>
      </c>
      <c r="AD13" s="131">
        <f t="shared" si="8"/>
        <v>0</v>
      </c>
    </row>
    <row r="14" spans="1:30" ht="12">
      <c r="A14" s="115" t="s">
        <v>154</v>
      </c>
      <c r="B14" s="117"/>
      <c r="C14" s="117"/>
      <c r="D14" s="117"/>
      <c r="E14" s="120">
        <f t="shared" si="2"/>
        <v>0</v>
      </c>
      <c r="F14" s="117"/>
      <c r="G14" s="117"/>
      <c r="H14" s="120">
        <f t="shared" si="3"/>
        <v>0</v>
      </c>
      <c r="I14" s="117"/>
      <c r="J14" s="117"/>
      <c r="K14" s="117"/>
      <c r="L14" s="117"/>
      <c r="M14" s="117"/>
      <c r="N14" s="120">
        <f t="shared" si="4"/>
        <v>0</v>
      </c>
      <c r="O14" s="117"/>
      <c r="P14" s="117"/>
      <c r="Q14" s="117"/>
      <c r="R14" s="117"/>
      <c r="S14" s="117"/>
      <c r="T14" s="305"/>
      <c r="U14" s="120">
        <f t="shared" si="5"/>
        <v>0</v>
      </c>
      <c r="V14" s="117"/>
      <c r="W14" s="117"/>
      <c r="X14" s="117"/>
      <c r="Y14" s="120">
        <f t="shared" si="6"/>
        <v>0</v>
      </c>
      <c r="Z14" s="117"/>
      <c r="AA14" s="117"/>
      <c r="AB14" s="117"/>
      <c r="AC14" s="120">
        <f t="shared" si="7"/>
        <v>0</v>
      </c>
      <c r="AD14" s="131">
        <f t="shared" si="8"/>
        <v>0</v>
      </c>
    </row>
    <row r="15" spans="1:30" ht="12">
      <c r="A15" s="115" t="s">
        <v>155</v>
      </c>
      <c r="B15" s="117"/>
      <c r="C15" s="117"/>
      <c r="D15" s="117"/>
      <c r="E15" s="120">
        <f t="shared" si="2"/>
        <v>0</v>
      </c>
      <c r="F15" s="117"/>
      <c r="G15" s="117"/>
      <c r="H15" s="120">
        <f t="shared" si="3"/>
        <v>0</v>
      </c>
      <c r="I15" s="117"/>
      <c r="J15" s="117"/>
      <c r="K15" s="117"/>
      <c r="L15" s="117"/>
      <c r="M15" s="117"/>
      <c r="N15" s="120">
        <f t="shared" si="4"/>
        <v>0</v>
      </c>
      <c r="O15" s="117"/>
      <c r="P15" s="117"/>
      <c r="Q15" s="117"/>
      <c r="R15" s="117"/>
      <c r="S15" s="117"/>
      <c r="T15" s="305"/>
      <c r="U15" s="120">
        <f t="shared" si="5"/>
        <v>0</v>
      </c>
      <c r="V15" s="117"/>
      <c r="W15" s="117"/>
      <c r="X15" s="117"/>
      <c r="Y15" s="120">
        <f t="shared" si="6"/>
        <v>0</v>
      </c>
      <c r="Z15" s="117"/>
      <c r="AA15" s="117"/>
      <c r="AB15" s="117"/>
      <c r="AC15" s="120">
        <f t="shared" si="7"/>
        <v>0</v>
      </c>
      <c r="AD15" s="131">
        <f t="shared" si="8"/>
        <v>0</v>
      </c>
    </row>
    <row r="16" spans="1:30" ht="12">
      <c r="A16" s="115" t="s">
        <v>156</v>
      </c>
      <c r="B16" s="117"/>
      <c r="C16" s="117"/>
      <c r="D16" s="117"/>
      <c r="E16" s="120">
        <f t="shared" si="2"/>
        <v>0</v>
      </c>
      <c r="F16" s="117"/>
      <c r="G16" s="117"/>
      <c r="H16" s="120">
        <f t="shared" si="3"/>
        <v>0</v>
      </c>
      <c r="I16" s="117"/>
      <c r="J16" s="117"/>
      <c r="K16" s="117"/>
      <c r="L16" s="117"/>
      <c r="M16" s="117"/>
      <c r="N16" s="120">
        <f t="shared" si="4"/>
        <v>0</v>
      </c>
      <c r="O16" s="117"/>
      <c r="P16" s="117"/>
      <c r="Q16" s="117"/>
      <c r="R16" s="117"/>
      <c r="S16" s="117"/>
      <c r="T16" s="305"/>
      <c r="U16" s="120">
        <f t="shared" si="5"/>
        <v>0</v>
      </c>
      <c r="V16" s="117"/>
      <c r="W16" s="117"/>
      <c r="X16" s="117"/>
      <c r="Y16" s="120">
        <f t="shared" si="6"/>
        <v>0</v>
      </c>
      <c r="Z16" s="117"/>
      <c r="AA16" s="117"/>
      <c r="AB16" s="117"/>
      <c r="AC16" s="120">
        <f t="shared" si="7"/>
        <v>0</v>
      </c>
      <c r="AD16" s="131">
        <f t="shared" si="8"/>
        <v>0</v>
      </c>
    </row>
    <row r="17" spans="1:30" ht="12">
      <c r="A17" s="115" t="s">
        <v>157</v>
      </c>
      <c r="B17" s="117"/>
      <c r="C17" s="117"/>
      <c r="D17" s="117"/>
      <c r="E17" s="120">
        <f t="shared" si="2"/>
        <v>0</v>
      </c>
      <c r="F17" s="117"/>
      <c r="G17" s="117"/>
      <c r="H17" s="120">
        <f t="shared" si="3"/>
        <v>0</v>
      </c>
      <c r="I17" s="117"/>
      <c r="J17" s="117"/>
      <c r="K17" s="117"/>
      <c r="L17" s="117"/>
      <c r="M17" s="117"/>
      <c r="N17" s="120">
        <f t="shared" si="4"/>
        <v>0</v>
      </c>
      <c r="O17" s="117"/>
      <c r="P17" s="117"/>
      <c r="Q17" s="117"/>
      <c r="R17" s="117"/>
      <c r="S17" s="117"/>
      <c r="T17" s="305"/>
      <c r="U17" s="120">
        <f t="shared" si="5"/>
        <v>0</v>
      </c>
      <c r="V17" s="117"/>
      <c r="W17" s="117"/>
      <c r="X17" s="117"/>
      <c r="Y17" s="120">
        <f t="shared" si="6"/>
        <v>0</v>
      </c>
      <c r="Z17" s="117"/>
      <c r="AA17" s="117"/>
      <c r="AB17" s="117"/>
      <c r="AC17" s="120">
        <f t="shared" si="7"/>
        <v>0</v>
      </c>
      <c r="AD17" s="346">
        <f t="shared" si="8"/>
        <v>0</v>
      </c>
    </row>
    <row r="18" spans="1:30" ht="12">
      <c r="A18" s="121" t="s">
        <v>158</v>
      </c>
      <c r="B18" s="122">
        <f aca="true" t="shared" si="9" ref="B18:AD18">SUM(B11:B17)</f>
        <v>0</v>
      </c>
      <c r="C18" s="122"/>
      <c r="D18" s="122">
        <f t="shared" si="9"/>
        <v>0</v>
      </c>
      <c r="E18" s="122">
        <f t="shared" si="9"/>
        <v>0</v>
      </c>
      <c r="F18" s="122">
        <f t="shared" si="9"/>
        <v>0</v>
      </c>
      <c r="G18" s="122">
        <f t="shared" si="9"/>
        <v>0</v>
      </c>
      <c r="H18" s="122">
        <f t="shared" si="9"/>
        <v>0</v>
      </c>
      <c r="I18" s="122">
        <f t="shared" si="9"/>
        <v>0</v>
      </c>
      <c r="J18" s="122">
        <f t="shared" si="9"/>
        <v>225</v>
      </c>
      <c r="K18" s="122">
        <f t="shared" si="9"/>
        <v>5</v>
      </c>
      <c r="L18" s="122">
        <f t="shared" si="9"/>
        <v>0</v>
      </c>
      <c r="M18" s="122">
        <f t="shared" si="9"/>
        <v>0</v>
      </c>
      <c r="N18" s="122">
        <f t="shared" si="9"/>
        <v>230</v>
      </c>
      <c r="O18" s="122">
        <f t="shared" si="9"/>
        <v>0</v>
      </c>
      <c r="P18" s="122">
        <f t="shared" si="9"/>
        <v>0</v>
      </c>
      <c r="Q18" s="122">
        <f t="shared" si="9"/>
        <v>0</v>
      </c>
      <c r="R18" s="122">
        <f t="shared" si="9"/>
        <v>0</v>
      </c>
      <c r="S18" s="122">
        <f t="shared" si="9"/>
        <v>0</v>
      </c>
      <c r="T18" s="307">
        <f t="shared" si="9"/>
        <v>0</v>
      </c>
      <c r="U18" s="122">
        <f t="shared" si="9"/>
        <v>0</v>
      </c>
      <c r="V18" s="122">
        <f t="shared" si="9"/>
        <v>0</v>
      </c>
      <c r="W18" s="122">
        <f t="shared" si="9"/>
        <v>0</v>
      </c>
      <c r="X18" s="122">
        <f t="shared" si="9"/>
        <v>0</v>
      </c>
      <c r="Y18" s="122">
        <f t="shared" si="9"/>
        <v>0</v>
      </c>
      <c r="Z18" s="122">
        <f t="shared" si="9"/>
        <v>0</v>
      </c>
      <c r="AA18" s="122">
        <f t="shared" si="9"/>
        <v>0</v>
      </c>
      <c r="AB18" s="122">
        <f t="shared" si="9"/>
        <v>0</v>
      </c>
      <c r="AC18" s="122">
        <f t="shared" si="9"/>
        <v>0</v>
      </c>
      <c r="AD18" s="307">
        <f t="shared" si="9"/>
        <v>230</v>
      </c>
    </row>
    <row r="19" spans="1:30" ht="12">
      <c r="A19" s="115" t="s">
        <v>159</v>
      </c>
      <c r="B19" s="117">
        <v>0</v>
      </c>
      <c r="C19" s="117"/>
      <c r="D19" s="117"/>
      <c r="E19" s="120">
        <f>SUM(B19:D19)</f>
        <v>0</v>
      </c>
      <c r="F19" s="117"/>
      <c r="G19" s="117"/>
      <c r="H19" s="120">
        <f>SUM(F19:G19)</f>
        <v>0</v>
      </c>
      <c r="I19" s="117"/>
      <c r="J19" s="117"/>
      <c r="K19" s="117"/>
      <c r="L19" s="117"/>
      <c r="M19" s="117"/>
      <c r="N19" s="120">
        <f>SUM(I19:M19)</f>
        <v>0</v>
      </c>
      <c r="O19" s="117"/>
      <c r="P19" s="117"/>
      <c r="Q19" s="117"/>
      <c r="R19" s="117"/>
      <c r="S19" s="117"/>
      <c r="T19" s="305"/>
      <c r="U19" s="120">
        <f>SUM(O19:T19)</f>
        <v>0</v>
      </c>
      <c r="V19" s="117"/>
      <c r="W19" s="117"/>
      <c r="X19" s="117"/>
      <c r="Y19" s="120">
        <f>SUM(V19:X19)</f>
        <v>0</v>
      </c>
      <c r="Z19" s="117"/>
      <c r="AA19" s="117"/>
      <c r="AB19" s="117"/>
      <c r="AC19" s="120">
        <f>SUM(Z19:AB19)</f>
        <v>0</v>
      </c>
      <c r="AD19" s="346">
        <f t="shared" si="8"/>
        <v>0</v>
      </c>
    </row>
    <row r="20" spans="1:30" ht="12">
      <c r="A20" s="115" t="s">
        <v>160</v>
      </c>
      <c r="B20" s="117"/>
      <c r="C20" s="117"/>
      <c r="D20" s="117"/>
      <c r="E20" s="120">
        <f>SUM(B20:D20)</f>
        <v>0</v>
      </c>
      <c r="F20" s="117"/>
      <c r="G20" s="117"/>
      <c r="H20" s="120">
        <f>SUM(F20:G20)</f>
        <v>0</v>
      </c>
      <c r="I20" s="117"/>
      <c r="J20" s="117"/>
      <c r="K20" s="117"/>
      <c r="L20" s="117"/>
      <c r="M20" s="117"/>
      <c r="N20" s="120">
        <f>SUM(I20:M20)</f>
        <v>0</v>
      </c>
      <c r="O20" s="117"/>
      <c r="P20" s="117"/>
      <c r="Q20" s="117"/>
      <c r="R20" s="117"/>
      <c r="S20" s="117"/>
      <c r="T20" s="305"/>
      <c r="U20" s="120">
        <f>SUM(O20:T20)</f>
        <v>0</v>
      </c>
      <c r="V20" s="117"/>
      <c r="W20" s="117"/>
      <c r="X20" s="117"/>
      <c r="Y20" s="120">
        <f>SUM(V20:X20)</f>
        <v>0</v>
      </c>
      <c r="Z20" s="117"/>
      <c r="AA20" s="117"/>
      <c r="AB20" s="117"/>
      <c r="AC20" s="120">
        <f>SUM(Z20:AB20)</f>
        <v>0</v>
      </c>
      <c r="AD20" s="346">
        <f t="shared" si="8"/>
        <v>0</v>
      </c>
    </row>
    <row r="21" spans="1:30" ht="12">
      <c r="A21" s="115" t="s">
        <v>161</v>
      </c>
      <c r="B21" s="117"/>
      <c r="C21" s="117"/>
      <c r="D21" s="117"/>
      <c r="E21" s="120">
        <f>SUM(B21:D21)</f>
        <v>0</v>
      </c>
      <c r="F21" s="117"/>
      <c r="G21" s="117"/>
      <c r="H21" s="120">
        <f>SUM(F21:G21)</f>
        <v>0</v>
      </c>
      <c r="I21" s="117"/>
      <c r="J21" s="117">
        <f>bev!$D$62</f>
        <v>45</v>
      </c>
      <c r="K21" s="117"/>
      <c r="L21" s="117"/>
      <c r="M21" s="117"/>
      <c r="N21" s="120">
        <f>SUM(I21:M21)</f>
        <v>45</v>
      </c>
      <c r="O21" s="117"/>
      <c r="P21" s="117"/>
      <c r="Q21" s="117"/>
      <c r="R21" s="117"/>
      <c r="S21" s="117"/>
      <c r="T21" s="305"/>
      <c r="U21" s="120">
        <f>SUM(O21:T21)</f>
        <v>0</v>
      </c>
      <c r="V21" s="117">
        <f>bev!$D$170</f>
        <v>162</v>
      </c>
      <c r="W21" s="117">
        <f>bev!$D$205</f>
        <v>386</v>
      </c>
      <c r="X21" s="117">
        <v>751</v>
      </c>
      <c r="Y21" s="120">
        <f>SUM(V21:X21)</f>
        <v>1299</v>
      </c>
      <c r="Z21" s="117"/>
      <c r="AA21" s="117"/>
      <c r="AB21" s="117">
        <f>bev!$D$376</f>
        <v>0</v>
      </c>
      <c r="AC21" s="120">
        <f>SUM(Z21:AB21)</f>
        <v>0</v>
      </c>
      <c r="AD21" s="346">
        <f t="shared" si="8"/>
        <v>1344</v>
      </c>
    </row>
    <row r="22" spans="1:30" ht="12">
      <c r="A22" s="115" t="s">
        <v>162</v>
      </c>
      <c r="B22" s="117"/>
      <c r="C22" s="117"/>
      <c r="D22" s="117"/>
      <c r="E22" s="120">
        <f>SUM(B22:D22)</f>
        <v>0</v>
      </c>
      <c r="F22" s="117"/>
      <c r="G22" s="117"/>
      <c r="H22" s="120">
        <f>SUM(F22:G22)</f>
        <v>0</v>
      </c>
      <c r="I22" s="117"/>
      <c r="J22" s="117"/>
      <c r="K22" s="117"/>
      <c r="L22" s="117"/>
      <c r="M22" s="117"/>
      <c r="N22" s="120">
        <f>SUM(I22:M22)</f>
        <v>0</v>
      </c>
      <c r="O22" s="117"/>
      <c r="P22" s="117"/>
      <c r="Q22" s="117"/>
      <c r="R22" s="117"/>
      <c r="S22" s="117"/>
      <c r="T22" s="305"/>
      <c r="U22" s="120">
        <f>SUM(O22:T22)</f>
        <v>0</v>
      </c>
      <c r="V22" s="117"/>
      <c r="W22" s="117"/>
      <c r="X22" s="117"/>
      <c r="Y22" s="120">
        <f>SUM(V22:X22)</f>
        <v>0</v>
      </c>
      <c r="Z22" s="117"/>
      <c r="AA22" s="117"/>
      <c r="AB22" s="117"/>
      <c r="AC22" s="120">
        <f>SUM(Z22:AB22)</f>
        <v>0</v>
      </c>
      <c r="AD22" s="346">
        <f t="shared" si="8"/>
        <v>0</v>
      </c>
    </row>
    <row r="23" spans="1:30" ht="12">
      <c r="A23" s="121" t="s">
        <v>1100</v>
      </c>
      <c r="B23" s="122">
        <f aca="true" t="shared" si="10" ref="B23:AD23">SUM(B19:B22)</f>
        <v>0</v>
      </c>
      <c r="C23" s="122"/>
      <c r="D23" s="122">
        <f t="shared" si="10"/>
        <v>0</v>
      </c>
      <c r="E23" s="122">
        <f t="shared" si="10"/>
        <v>0</v>
      </c>
      <c r="F23" s="122">
        <f t="shared" si="10"/>
        <v>0</v>
      </c>
      <c r="G23" s="122">
        <f t="shared" si="10"/>
        <v>0</v>
      </c>
      <c r="H23" s="122">
        <f t="shared" si="10"/>
        <v>0</v>
      </c>
      <c r="I23" s="122">
        <f t="shared" si="10"/>
        <v>0</v>
      </c>
      <c r="J23" s="122">
        <f t="shared" si="10"/>
        <v>45</v>
      </c>
      <c r="K23" s="122">
        <f t="shared" si="10"/>
        <v>0</v>
      </c>
      <c r="L23" s="122">
        <f t="shared" si="10"/>
        <v>0</v>
      </c>
      <c r="M23" s="122">
        <f t="shared" si="10"/>
        <v>0</v>
      </c>
      <c r="N23" s="122">
        <f t="shared" si="10"/>
        <v>45</v>
      </c>
      <c r="O23" s="122">
        <f t="shared" si="10"/>
        <v>0</v>
      </c>
      <c r="P23" s="122">
        <f t="shared" si="10"/>
        <v>0</v>
      </c>
      <c r="Q23" s="122">
        <f t="shared" si="10"/>
        <v>0</v>
      </c>
      <c r="R23" s="122">
        <f t="shared" si="10"/>
        <v>0</v>
      </c>
      <c r="S23" s="122">
        <f t="shared" si="10"/>
        <v>0</v>
      </c>
      <c r="T23" s="307">
        <f t="shared" si="10"/>
        <v>0</v>
      </c>
      <c r="U23" s="122">
        <f t="shared" si="10"/>
        <v>0</v>
      </c>
      <c r="V23" s="122">
        <f t="shared" si="10"/>
        <v>162</v>
      </c>
      <c r="W23" s="122">
        <f t="shared" si="10"/>
        <v>386</v>
      </c>
      <c r="X23" s="122">
        <f t="shared" si="10"/>
        <v>751</v>
      </c>
      <c r="Y23" s="122">
        <f t="shared" si="10"/>
        <v>1299</v>
      </c>
      <c r="Z23" s="122">
        <f t="shared" si="10"/>
        <v>0</v>
      </c>
      <c r="AA23" s="122">
        <f t="shared" si="10"/>
        <v>0</v>
      </c>
      <c r="AB23" s="122">
        <f t="shared" si="10"/>
        <v>0</v>
      </c>
      <c r="AC23" s="122">
        <f t="shared" si="10"/>
        <v>0</v>
      </c>
      <c r="AD23" s="307">
        <f t="shared" si="10"/>
        <v>1344</v>
      </c>
    </row>
    <row r="24" spans="1:30" ht="12">
      <c r="A24" s="115" t="s">
        <v>1101</v>
      </c>
      <c r="B24" s="117">
        <v>0</v>
      </c>
      <c r="C24" s="117"/>
      <c r="D24" s="117"/>
      <c r="E24" s="120">
        <f>SUM(B24:D24)</f>
        <v>0</v>
      </c>
      <c r="F24" s="117"/>
      <c r="G24" s="117"/>
      <c r="H24" s="120">
        <f>SUM(F24:G24)</f>
        <v>0</v>
      </c>
      <c r="I24" s="117"/>
      <c r="J24" s="117"/>
      <c r="K24" s="117"/>
      <c r="L24" s="117"/>
      <c r="M24" s="117"/>
      <c r="N24" s="120">
        <f>SUM(I24:M24)</f>
        <v>0</v>
      </c>
      <c r="O24" s="117"/>
      <c r="P24" s="117"/>
      <c r="Q24" s="117"/>
      <c r="R24" s="117"/>
      <c r="S24" s="117"/>
      <c r="T24" s="305"/>
      <c r="U24" s="120">
        <f>SUM(O24:T24)</f>
        <v>0</v>
      </c>
      <c r="V24" s="117"/>
      <c r="W24" s="117"/>
      <c r="X24" s="117"/>
      <c r="Y24" s="120">
        <f>SUM(V24:X24)</f>
        <v>0</v>
      </c>
      <c r="Z24" s="117"/>
      <c r="AA24" s="117"/>
      <c r="AB24" s="117"/>
      <c r="AC24" s="120">
        <f>SUM(Z24:AB24)</f>
        <v>0</v>
      </c>
      <c r="AD24" s="131">
        <f t="shared" si="8"/>
        <v>0</v>
      </c>
    </row>
    <row r="25" spans="1:30" ht="12">
      <c r="A25" s="115" t="s">
        <v>1102</v>
      </c>
      <c r="B25" s="117"/>
      <c r="C25" s="117"/>
      <c r="D25" s="117"/>
      <c r="E25" s="120">
        <f>SUM(B25:D25)</f>
        <v>0</v>
      </c>
      <c r="F25" s="117"/>
      <c r="G25" s="117"/>
      <c r="H25" s="120">
        <f>SUM(F25:G25)</f>
        <v>0</v>
      </c>
      <c r="I25" s="117"/>
      <c r="J25" s="117"/>
      <c r="K25" s="117"/>
      <c r="L25" s="117"/>
      <c r="M25" s="117"/>
      <c r="N25" s="120">
        <f>SUM(I25:M25)</f>
        <v>0</v>
      </c>
      <c r="O25" s="117"/>
      <c r="P25" s="117"/>
      <c r="Q25" s="117"/>
      <c r="R25" s="117"/>
      <c r="S25" s="117"/>
      <c r="T25" s="305"/>
      <c r="U25" s="120">
        <f>SUM(O25:T25)</f>
        <v>0</v>
      </c>
      <c r="V25" s="117"/>
      <c r="W25" s="117"/>
      <c r="X25" s="117"/>
      <c r="Y25" s="120">
        <f>SUM(V25:X25)</f>
        <v>0</v>
      </c>
      <c r="Z25" s="117"/>
      <c r="AA25" s="117"/>
      <c r="AB25" s="117"/>
      <c r="AC25" s="120">
        <f>SUM(Z25:AB25)</f>
        <v>0</v>
      </c>
      <c r="AD25" s="131">
        <f t="shared" si="8"/>
        <v>0</v>
      </c>
    </row>
    <row r="26" spans="1:30" ht="12">
      <c r="A26" s="121" t="s">
        <v>1103</v>
      </c>
      <c r="B26" s="122">
        <f aca="true" t="shared" si="11" ref="B26:AD26">SUM(B24:B25)</f>
        <v>0</v>
      </c>
      <c r="C26" s="122"/>
      <c r="D26" s="122">
        <f t="shared" si="11"/>
        <v>0</v>
      </c>
      <c r="E26" s="122">
        <f t="shared" si="11"/>
        <v>0</v>
      </c>
      <c r="F26" s="122">
        <f t="shared" si="11"/>
        <v>0</v>
      </c>
      <c r="G26" s="122">
        <f t="shared" si="11"/>
        <v>0</v>
      </c>
      <c r="H26" s="122">
        <f t="shared" si="11"/>
        <v>0</v>
      </c>
      <c r="I26" s="122">
        <f t="shared" si="11"/>
        <v>0</v>
      </c>
      <c r="J26" s="122">
        <f t="shared" si="11"/>
        <v>0</v>
      </c>
      <c r="K26" s="122">
        <f t="shared" si="11"/>
        <v>0</v>
      </c>
      <c r="L26" s="122">
        <f t="shared" si="11"/>
        <v>0</v>
      </c>
      <c r="M26" s="122">
        <f t="shared" si="11"/>
        <v>0</v>
      </c>
      <c r="N26" s="122">
        <f t="shared" si="11"/>
        <v>0</v>
      </c>
      <c r="O26" s="122">
        <f t="shared" si="11"/>
        <v>0</v>
      </c>
      <c r="P26" s="122">
        <f t="shared" si="11"/>
        <v>0</v>
      </c>
      <c r="Q26" s="122">
        <f t="shared" si="11"/>
        <v>0</v>
      </c>
      <c r="R26" s="122">
        <f t="shared" si="11"/>
        <v>0</v>
      </c>
      <c r="S26" s="122">
        <f t="shared" si="11"/>
        <v>0</v>
      </c>
      <c r="T26" s="307">
        <f t="shared" si="11"/>
        <v>0</v>
      </c>
      <c r="U26" s="122">
        <f t="shared" si="11"/>
        <v>0</v>
      </c>
      <c r="V26" s="122">
        <f t="shared" si="11"/>
        <v>0</v>
      </c>
      <c r="W26" s="122">
        <f t="shared" si="11"/>
        <v>0</v>
      </c>
      <c r="X26" s="122">
        <f t="shared" si="11"/>
        <v>0</v>
      </c>
      <c r="Y26" s="122">
        <f t="shared" si="11"/>
        <v>0</v>
      </c>
      <c r="Z26" s="122">
        <f t="shared" si="11"/>
        <v>0</v>
      </c>
      <c r="AA26" s="122">
        <f t="shared" si="11"/>
        <v>0</v>
      </c>
      <c r="AB26" s="122">
        <f t="shared" si="11"/>
        <v>0</v>
      </c>
      <c r="AC26" s="122">
        <f t="shared" si="11"/>
        <v>0</v>
      </c>
      <c r="AD26" s="122">
        <f t="shared" si="11"/>
        <v>0</v>
      </c>
    </row>
    <row r="27" spans="1:30" ht="12">
      <c r="A27" s="115" t="s">
        <v>1104</v>
      </c>
      <c r="B27" s="117">
        <v>0</v>
      </c>
      <c r="C27" s="117"/>
      <c r="D27" s="117"/>
      <c r="E27" s="120">
        <f>SUM(B27:D27)</f>
        <v>0</v>
      </c>
      <c r="F27" s="117"/>
      <c r="G27" s="117"/>
      <c r="H27" s="120">
        <f>SUM(F27:G27)</f>
        <v>0</v>
      </c>
      <c r="I27" s="117"/>
      <c r="J27" s="117"/>
      <c r="K27" s="117"/>
      <c r="L27" s="117"/>
      <c r="M27" s="117"/>
      <c r="N27" s="120">
        <f>SUM(I27:M27)</f>
        <v>0</v>
      </c>
      <c r="O27" s="117"/>
      <c r="P27" s="117"/>
      <c r="Q27" s="117"/>
      <c r="R27" s="117"/>
      <c r="S27" s="117"/>
      <c r="T27" s="305"/>
      <c r="U27" s="120">
        <f>SUM(O27:T27)</f>
        <v>0</v>
      </c>
      <c r="V27" s="117"/>
      <c r="W27" s="117"/>
      <c r="X27" s="117"/>
      <c r="Y27" s="120">
        <f>SUM(V27:X27)</f>
        <v>0</v>
      </c>
      <c r="Z27" s="117"/>
      <c r="AA27" s="117"/>
      <c r="AB27" s="117"/>
      <c r="AC27" s="120">
        <f>SUM(Z27:AB27)</f>
        <v>0</v>
      </c>
      <c r="AD27" s="131">
        <f t="shared" si="8"/>
        <v>0</v>
      </c>
    </row>
    <row r="28" spans="1:30" ht="12">
      <c r="A28" s="115" t="s">
        <v>1105</v>
      </c>
      <c r="B28" s="117">
        <f>bev!$D$30</f>
        <v>10</v>
      </c>
      <c r="C28" s="117"/>
      <c r="D28" s="117"/>
      <c r="E28" s="120">
        <f>SUM(B28:D28)</f>
        <v>10</v>
      </c>
      <c r="F28" s="117"/>
      <c r="G28" s="117"/>
      <c r="H28" s="120">
        <f>SUM(F28:G28)</f>
        <v>0</v>
      </c>
      <c r="I28" s="117"/>
      <c r="J28" s="117"/>
      <c r="K28" s="117"/>
      <c r="L28" s="117"/>
      <c r="M28" s="117"/>
      <c r="N28" s="120">
        <f>SUM(I28:M28)</f>
        <v>0</v>
      </c>
      <c r="O28" s="117"/>
      <c r="P28" s="117"/>
      <c r="Q28" s="117"/>
      <c r="R28" s="117"/>
      <c r="S28" s="117"/>
      <c r="T28" s="305"/>
      <c r="U28" s="120">
        <f>SUM(O28:T28)</f>
        <v>0</v>
      </c>
      <c r="V28" s="117"/>
      <c r="W28" s="117"/>
      <c r="X28" s="117"/>
      <c r="Y28" s="120">
        <f>SUM(V28:X28)</f>
        <v>0</v>
      </c>
      <c r="Z28" s="117"/>
      <c r="AA28" s="117"/>
      <c r="AB28" s="117"/>
      <c r="AC28" s="120">
        <f>SUM(Z28:AB28)</f>
        <v>0</v>
      </c>
      <c r="AD28" s="346">
        <f t="shared" si="8"/>
        <v>10</v>
      </c>
    </row>
    <row r="29" spans="1:30" ht="12">
      <c r="A29" s="115" t="s">
        <v>1106</v>
      </c>
      <c r="B29" s="117"/>
      <c r="C29" s="117"/>
      <c r="D29" s="117"/>
      <c r="E29" s="120">
        <f>SUM(B29:D29)</f>
        <v>0</v>
      </c>
      <c r="F29" s="117"/>
      <c r="G29" s="117"/>
      <c r="H29" s="120">
        <f>SUM(F29:G29)</f>
        <v>0</v>
      </c>
      <c r="I29" s="117"/>
      <c r="J29" s="117"/>
      <c r="K29" s="117"/>
      <c r="L29" s="117"/>
      <c r="M29" s="117"/>
      <c r="N29" s="120">
        <f>SUM(I29:M29)</f>
        <v>0</v>
      </c>
      <c r="O29" s="117"/>
      <c r="P29" s="117"/>
      <c r="Q29" s="117"/>
      <c r="R29" s="117"/>
      <c r="S29" s="117"/>
      <c r="T29" s="305"/>
      <c r="U29" s="120">
        <f>SUM(O29:T29)</f>
        <v>0</v>
      </c>
      <c r="V29" s="117"/>
      <c r="W29" s="117"/>
      <c r="X29" s="117"/>
      <c r="Y29" s="120">
        <f>SUM(V29:X29)</f>
        <v>0</v>
      </c>
      <c r="Z29" s="117"/>
      <c r="AA29" s="117"/>
      <c r="AB29" s="117"/>
      <c r="AC29" s="120">
        <f>SUM(Z29:AB29)</f>
        <v>0</v>
      </c>
      <c r="AD29" s="346">
        <f t="shared" si="8"/>
        <v>0</v>
      </c>
    </row>
    <row r="30" spans="1:30" ht="12">
      <c r="A30" s="121" t="s">
        <v>1107</v>
      </c>
      <c r="B30" s="122">
        <f aca="true" t="shared" si="12" ref="B30:AD30">SUM(B27:B29)</f>
        <v>10</v>
      </c>
      <c r="C30" s="122"/>
      <c r="D30" s="122">
        <f t="shared" si="12"/>
        <v>0</v>
      </c>
      <c r="E30" s="122">
        <f t="shared" si="12"/>
        <v>10</v>
      </c>
      <c r="F30" s="122">
        <f t="shared" si="12"/>
        <v>0</v>
      </c>
      <c r="G30" s="122">
        <f t="shared" si="12"/>
        <v>0</v>
      </c>
      <c r="H30" s="122">
        <f t="shared" si="12"/>
        <v>0</v>
      </c>
      <c r="I30" s="122">
        <f t="shared" si="12"/>
        <v>0</v>
      </c>
      <c r="J30" s="122">
        <f t="shared" si="12"/>
        <v>0</v>
      </c>
      <c r="K30" s="122">
        <f t="shared" si="12"/>
        <v>0</v>
      </c>
      <c r="L30" s="122">
        <f t="shared" si="12"/>
        <v>0</v>
      </c>
      <c r="M30" s="122">
        <f t="shared" si="12"/>
        <v>0</v>
      </c>
      <c r="N30" s="122">
        <f t="shared" si="12"/>
        <v>0</v>
      </c>
      <c r="O30" s="122">
        <f t="shared" si="12"/>
        <v>0</v>
      </c>
      <c r="P30" s="122">
        <f t="shared" si="12"/>
        <v>0</v>
      </c>
      <c r="Q30" s="122">
        <f t="shared" si="12"/>
        <v>0</v>
      </c>
      <c r="R30" s="122">
        <f t="shared" si="12"/>
        <v>0</v>
      </c>
      <c r="S30" s="122">
        <f t="shared" si="12"/>
        <v>0</v>
      </c>
      <c r="T30" s="307">
        <f t="shared" si="12"/>
        <v>0</v>
      </c>
      <c r="U30" s="122">
        <f t="shared" si="12"/>
        <v>0</v>
      </c>
      <c r="V30" s="122">
        <f t="shared" si="12"/>
        <v>0</v>
      </c>
      <c r="W30" s="122">
        <f t="shared" si="12"/>
        <v>0</v>
      </c>
      <c r="X30" s="122">
        <f t="shared" si="12"/>
        <v>0</v>
      </c>
      <c r="Y30" s="122">
        <f t="shared" si="12"/>
        <v>0</v>
      </c>
      <c r="Z30" s="122">
        <f t="shared" si="12"/>
        <v>0</v>
      </c>
      <c r="AA30" s="122">
        <f t="shared" si="12"/>
        <v>0</v>
      </c>
      <c r="AB30" s="122">
        <f t="shared" si="12"/>
        <v>0</v>
      </c>
      <c r="AC30" s="122">
        <f t="shared" si="12"/>
        <v>0</v>
      </c>
      <c r="AD30" s="307">
        <f t="shared" si="12"/>
        <v>10</v>
      </c>
    </row>
    <row r="31" spans="1:30" ht="12">
      <c r="A31" s="116" t="s">
        <v>1108</v>
      </c>
      <c r="B31" s="118">
        <f aca="true" t="shared" si="13" ref="B31:AD31">B6+B10+B18+B23+B26+B30</f>
        <v>183</v>
      </c>
      <c r="C31" s="118"/>
      <c r="D31" s="118">
        <f t="shared" si="13"/>
        <v>0</v>
      </c>
      <c r="E31" s="118">
        <f t="shared" si="13"/>
        <v>183</v>
      </c>
      <c r="F31" s="118">
        <f t="shared" si="13"/>
        <v>0</v>
      </c>
      <c r="G31" s="118">
        <f t="shared" si="13"/>
        <v>0</v>
      </c>
      <c r="H31" s="118">
        <f t="shared" si="13"/>
        <v>0</v>
      </c>
      <c r="I31" s="118">
        <f t="shared" si="13"/>
        <v>0</v>
      </c>
      <c r="J31" s="118">
        <f t="shared" si="13"/>
        <v>270</v>
      </c>
      <c r="K31" s="118">
        <f t="shared" si="13"/>
        <v>5</v>
      </c>
      <c r="L31" s="118">
        <f t="shared" si="13"/>
        <v>0</v>
      </c>
      <c r="M31" s="118">
        <f t="shared" si="13"/>
        <v>0</v>
      </c>
      <c r="N31" s="118">
        <f t="shared" si="13"/>
        <v>275</v>
      </c>
      <c r="O31" s="118">
        <f t="shared" si="13"/>
        <v>0</v>
      </c>
      <c r="P31" s="118">
        <f t="shared" si="13"/>
        <v>0</v>
      </c>
      <c r="Q31" s="118">
        <f t="shared" si="13"/>
        <v>0</v>
      </c>
      <c r="R31" s="118">
        <f t="shared" si="13"/>
        <v>0</v>
      </c>
      <c r="S31" s="118">
        <f t="shared" si="13"/>
        <v>0</v>
      </c>
      <c r="T31" s="308">
        <f t="shared" si="13"/>
        <v>0</v>
      </c>
      <c r="U31" s="118">
        <f t="shared" si="13"/>
        <v>0</v>
      </c>
      <c r="V31" s="118">
        <f t="shared" si="13"/>
        <v>759</v>
      </c>
      <c r="W31" s="118">
        <f t="shared" si="13"/>
        <v>2862</v>
      </c>
      <c r="X31" s="118">
        <f t="shared" si="13"/>
        <v>4173</v>
      </c>
      <c r="Y31" s="118">
        <f t="shared" si="13"/>
        <v>7794</v>
      </c>
      <c r="Z31" s="118">
        <f t="shared" si="13"/>
        <v>0</v>
      </c>
      <c r="AA31" s="118">
        <f t="shared" si="13"/>
        <v>0</v>
      </c>
      <c r="AB31" s="118">
        <f t="shared" si="13"/>
        <v>0</v>
      </c>
      <c r="AC31" s="118">
        <f t="shared" si="13"/>
        <v>0</v>
      </c>
      <c r="AD31" s="308">
        <f t="shared" si="13"/>
        <v>8252</v>
      </c>
    </row>
    <row r="32" spans="1:30" ht="12">
      <c r="A32" s="115" t="s">
        <v>1109</v>
      </c>
      <c r="B32" s="117">
        <v>0</v>
      </c>
      <c r="C32" s="117"/>
      <c r="D32" s="117"/>
      <c r="E32" s="120">
        <f>SUM(B32:D32)</f>
        <v>0</v>
      </c>
      <c r="F32" s="117"/>
      <c r="G32" s="117"/>
      <c r="H32" s="120">
        <f>SUM(F32:G32)</f>
        <v>0</v>
      </c>
      <c r="I32" s="117"/>
      <c r="J32" s="117"/>
      <c r="K32" s="117"/>
      <c r="L32" s="117"/>
      <c r="M32" s="117"/>
      <c r="N32" s="120">
        <f>SUM(I32:M32)</f>
        <v>0</v>
      </c>
      <c r="O32" s="117"/>
      <c r="P32" s="117"/>
      <c r="Q32" s="117"/>
      <c r="R32" s="117"/>
      <c r="S32" s="117"/>
      <c r="T32" s="305"/>
      <c r="U32" s="120">
        <f>SUM(O32:T32)</f>
        <v>0</v>
      </c>
      <c r="V32" s="117"/>
      <c r="W32" s="117"/>
      <c r="X32" s="117"/>
      <c r="Y32" s="120">
        <f>SUM(V32:X32)</f>
        <v>0</v>
      </c>
      <c r="Z32" s="117"/>
      <c r="AA32" s="117"/>
      <c r="AB32" s="117"/>
      <c r="AC32" s="120">
        <f>SUM(Z32:AB32)</f>
        <v>0</v>
      </c>
      <c r="AD32" s="131">
        <f>E32+H32+N32+U32+Y32+AC32</f>
        <v>0</v>
      </c>
    </row>
    <row r="33" spans="1:30" ht="12">
      <c r="A33" s="115" t="s">
        <v>1110</v>
      </c>
      <c r="B33" s="117"/>
      <c r="C33" s="117"/>
      <c r="D33" s="117"/>
      <c r="E33" s="120">
        <f>SUM(B33:D33)</f>
        <v>0</v>
      </c>
      <c r="F33" s="117"/>
      <c r="G33" s="117"/>
      <c r="H33" s="120">
        <f>SUM(F33:G33)</f>
        <v>0</v>
      </c>
      <c r="I33" s="117"/>
      <c r="J33" s="117"/>
      <c r="K33" s="117"/>
      <c r="L33" s="117"/>
      <c r="M33" s="117"/>
      <c r="N33" s="120">
        <f>SUM(I33:M33)</f>
        <v>0</v>
      </c>
      <c r="O33" s="117"/>
      <c r="P33" s="117"/>
      <c r="Q33" s="117"/>
      <c r="R33" s="117"/>
      <c r="S33" s="117"/>
      <c r="T33" s="305"/>
      <c r="U33" s="120">
        <f>SUM(O33:T33)</f>
        <v>0</v>
      </c>
      <c r="V33" s="117"/>
      <c r="W33" s="117"/>
      <c r="X33" s="117"/>
      <c r="Y33" s="120">
        <f>SUM(V33:X33)</f>
        <v>0</v>
      </c>
      <c r="Z33" s="117"/>
      <c r="AA33" s="117"/>
      <c r="AB33" s="117"/>
      <c r="AC33" s="120">
        <f>SUM(Z33:AB33)</f>
        <v>0</v>
      </c>
      <c r="AD33" s="131">
        <f>E33+H33+N33+U33+Y33+AC33</f>
        <v>0</v>
      </c>
    </row>
    <row r="34" spans="1:30" ht="12">
      <c r="A34" s="115" t="s">
        <v>1111</v>
      </c>
      <c r="B34" s="117"/>
      <c r="C34" s="117"/>
      <c r="D34" s="117"/>
      <c r="E34" s="120">
        <f>SUM(B34:D34)</f>
        <v>0</v>
      </c>
      <c r="F34" s="117"/>
      <c r="G34" s="117"/>
      <c r="H34" s="120">
        <f>SUM(F34:G34)</f>
        <v>0</v>
      </c>
      <c r="I34" s="117"/>
      <c r="J34" s="117"/>
      <c r="K34" s="117"/>
      <c r="L34" s="117"/>
      <c r="M34" s="117"/>
      <c r="N34" s="120">
        <f>SUM(I34:M34)</f>
        <v>0</v>
      </c>
      <c r="O34" s="117"/>
      <c r="P34" s="117"/>
      <c r="Q34" s="117"/>
      <c r="R34" s="117"/>
      <c r="S34" s="117"/>
      <c r="T34" s="305"/>
      <c r="U34" s="120">
        <f>SUM(O34:T34)</f>
        <v>0</v>
      </c>
      <c r="V34" s="117"/>
      <c r="W34" s="117"/>
      <c r="X34" s="117"/>
      <c r="Y34" s="120">
        <f>SUM(V34:X34)</f>
        <v>0</v>
      </c>
      <c r="Z34" s="117"/>
      <c r="AA34" s="117"/>
      <c r="AB34" s="117"/>
      <c r="AC34" s="120">
        <f>SUM(Z34:AB34)</f>
        <v>0</v>
      </c>
      <c r="AD34" s="131">
        <f>E34+H34+N34+U34+Y34+AC34</f>
        <v>0</v>
      </c>
    </row>
    <row r="35" spans="1:30" ht="12">
      <c r="A35" s="121" t="s">
        <v>1112</v>
      </c>
      <c r="B35" s="122">
        <f aca="true" t="shared" si="14" ref="B35:AD35">SUM(B32:B34)</f>
        <v>0</v>
      </c>
      <c r="C35" s="122"/>
      <c r="D35" s="122">
        <f t="shared" si="14"/>
        <v>0</v>
      </c>
      <c r="E35" s="122">
        <f t="shared" si="14"/>
        <v>0</v>
      </c>
      <c r="F35" s="122">
        <f t="shared" si="14"/>
        <v>0</v>
      </c>
      <c r="G35" s="122">
        <f t="shared" si="14"/>
        <v>0</v>
      </c>
      <c r="H35" s="122">
        <f t="shared" si="14"/>
        <v>0</v>
      </c>
      <c r="I35" s="122">
        <f t="shared" si="14"/>
        <v>0</v>
      </c>
      <c r="J35" s="122">
        <f t="shared" si="14"/>
        <v>0</v>
      </c>
      <c r="K35" s="122">
        <f t="shared" si="14"/>
        <v>0</v>
      </c>
      <c r="L35" s="122">
        <f t="shared" si="14"/>
        <v>0</v>
      </c>
      <c r="M35" s="122">
        <f t="shared" si="14"/>
        <v>0</v>
      </c>
      <c r="N35" s="122">
        <f t="shared" si="14"/>
        <v>0</v>
      </c>
      <c r="O35" s="122">
        <f t="shared" si="14"/>
        <v>0</v>
      </c>
      <c r="P35" s="122">
        <f t="shared" si="14"/>
        <v>0</v>
      </c>
      <c r="Q35" s="122">
        <f t="shared" si="14"/>
        <v>0</v>
      </c>
      <c r="R35" s="122">
        <f t="shared" si="14"/>
        <v>0</v>
      </c>
      <c r="S35" s="122">
        <f t="shared" si="14"/>
        <v>0</v>
      </c>
      <c r="T35" s="307">
        <f t="shared" si="14"/>
        <v>0</v>
      </c>
      <c r="U35" s="122">
        <f t="shared" si="14"/>
        <v>0</v>
      </c>
      <c r="V35" s="122">
        <f t="shared" si="14"/>
        <v>0</v>
      </c>
      <c r="W35" s="122">
        <f t="shared" si="14"/>
        <v>0</v>
      </c>
      <c r="X35" s="122">
        <f t="shared" si="14"/>
        <v>0</v>
      </c>
      <c r="Y35" s="122">
        <f t="shared" si="14"/>
        <v>0</v>
      </c>
      <c r="Z35" s="122">
        <f t="shared" si="14"/>
        <v>0</v>
      </c>
      <c r="AA35" s="122">
        <f t="shared" si="14"/>
        <v>0</v>
      </c>
      <c r="AB35" s="122">
        <f t="shared" si="14"/>
        <v>0</v>
      </c>
      <c r="AC35" s="122">
        <f t="shared" si="14"/>
        <v>0</v>
      </c>
      <c r="AD35" s="122">
        <f t="shared" si="14"/>
        <v>0</v>
      </c>
    </row>
    <row r="36" spans="1:30" ht="12">
      <c r="A36" s="121" t="s">
        <v>1113</v>
      </c>
      <c r="B36" s="122"/>
      <c r="C36" s="122"/>
      <c r="D36" s="122"/>
      <c r="E36" s="122">
        <f>SUM(B36:D36)</f>
        <v>0</v>
      </c>
      <c r="F36" s="122"/>
      <c r="G36" s="122"/>
      <c r="H36" s="122">
        <f>SUM(F36:G36)</f>
        <v>0</v>
      </c>
      <c r="I36" s="122"/>
      <c r="J36" s="122"/>
      <c r="K36" s="122"/>
      <c r="L36" s="122"/>
      <c r="M36" s="122"/>
      <c r="N36" s="122">
        <f>SUM(I36:M36)</f>
        <v>0</v>
      </c>
      <c r="O36" s="122"/>
      <c r="P36" s="122"/>
      <c r="Q36" s="122"/>
      <c r="R36" s="122"/>
      <c r="S36" s="122"/>
      <c r="T36" s="307"/>
      <c r="U36" s="122">
        <f>SUM(O36:T36)</f>
        <v>0</v>
      </c>
      <c r="V36" s="122"/>
      <c r="W36" s="122"/>
      <c r="X36" s="122"/>
      <c r="Y36" s="122">
        <f>SUM(V36:X36)</f>
        <v>0</v>
      </c>
      <c r="Z36" s="122"/>
      <c r="AA36" s="122">
        <f>bev!$D$318</f>
        <v>0</v>
      </c>
      <c r="AB36" s="122"/>
      <c r="AC36" s="122">
        <f>SUM(Z36:AB36)</f>
        <v>0</v>
      </c>
      <c r="AD36" s="122">
        <f>E36+H36+N36+U36+Y36+AC36</f>
        <v>0</v>
      </c>
    </row>
    <row r="37" spans="1:30" ht="12">
      <c r="A37" s="115" t="s">
        <v>1114</v>
      </c>
      <c r="B37" s="117">
        <f>bev!$D$27</f>
        <v>0</v>
      </c>
      <c r="C37" s="117"/>
      <c r="D37" s="117"/>
      <c r="E37" s="120">
        <f>SUM(B37:D37)</f>
        <v>0</v>
      </c>
      <c r="F37" s="117"/>
      <c r="G37" s="117"/>
      <c r="H37" s="120">
        <f>SUM(F37:G37)</f>
        <v>0</v>
      </c>
      <c r="I37" s="117"/>
      <c r="J37" s="117"/>
      <c r="K37" s="117"/>
      <c r="L37" s="117"/>
      <c r="M37" s="117"/>
      <c r="N37" s="120">
        <f>SUM(I37:M37)</f>
        <v>0</v>
      </c>
      <c r="O37" s="117"/>
      <c r="P37" s="117"/>
      <c r="Q37" s="117"/>
      <c r="R37" s="117"/>
      <c r="S37" s="117"/>
      <c r="T37" s="305"/>
      <c r="U37" s="120">
        <f>SUM(O37:T37)</f>
        <v>0</v>
      </c>
      <c r="V37" s="117"/>
      <c r="W37" s="117"/>
      <c r="X37" s="117"/>
      <c r="Y37" s="120">
        <f>SUM(V37:X37)</f>
        <v>0</v>
      </c>
      <c r="Z37" s="117"/>
      <c r="AA37" s="117"/>
      <c r="AB37" s="117"/>
      <c r="AC37" s="120">
        <f>SUM(Z37:AB37)</f>
        <v>0</v>
      </c>
      <c r="AD37" s="131">
        <f>E37+H37+N37+U37+Y37+AC37</f>
        <v>0</v>
      </c>
    </row>
    <row r="38" spans="1:30" ht="12">
      <c r="A38" s="115" t="s">
        <v>1115</v>
      </c>
      <c r="B38" s="117"/>
      <c r="C38" s="117"/>
      <c r="D38" s="117"/>
      <c r="E38" s="120">
        <f>SUM(B38:D38)</f>
        <v>0</v>
      </c>
      <c r="F38" s="117"/>
      <c r="G38" s="117"/>
      <c r="H38" s="120">
        <f>SUM(F38:G38)</f>
        <v>0</v>
      </c>
      <c r="I38" s="117"/>
      <c r="J38" s="117"/>
      <c r="K38" s="117"/>
      <c r="L38" s="117"/>
      <c r="M38" s="117"/>
      <c r="N38" s="120">
        <f>SUM(I38:M38)</f>
        <v>0</v>
      </c>
      <c r="O38" s="117"/>
      <c r="P38" s="117"/>
      <c r="Q38" s="117"/>
      <c r="R38" s="117"/>
      <c r="S38" s="117"/>
      <c r="T38" s="305"/>
      <c r="U38" s="120">
        <f>SUM(O38:T38)</f>
        <v>0</v>
      </c>
      <c r="V38" s="117"/>
      <c r="W38" s="117"/>
      <c r="X38" s="117"/>
      <c r="Y38" s="120">
        <f>SUM(V38:X38)</f>
        <v>0</v>
      </c>
      <c r="Z38" s="117"/>
      <c r="AA38" s="117"/>
      <c r="AB38" s="117"/>
      <c r="AC38" s="120">
        <f>SUM(Z38:AB38)</f>
        <v>0</v>
      </c>
      <c r="AD38" s="131">
        <f>E38+H38+N38+U38+Y38+AC38</f>
        <v>0</v>
      </c>
    </row>
    <row r="39" spans="1:30" ht="12">
      <c r="A39" s="115"/>
      <c r="B39" s="117"/>
      <c r="C39" s="117"/>
      <c r="D39" s="117"/>
      <c r="E39" s="120">
        <f>SUM(B39:D39)</f>
        <v>0</v>
      </c>
      <c r="F39" s="117"/>
      <c r="G39" s="117"/>
      <c r="H39" s="120">
        <f>SUM(F39:G39)</f>
        <v>0</v>
      </c>
      <c r="I39" s="117"/>
      <c r="J39" s="117"/>
      <c r="K39" s="117"/>
      <c r="L39" s="117"/>
      <c r="M39" s="117"/>
      <c r="N39" s="120">
        <f>SUM(I39:M39)</f>
        <v>0</v>
      </c>
      <c r="O39" s="117"/>
      <c r="P39" s="117"/>
      <c r="Q39" s="117"/>
      <c r="R39" s="117"/>
      <c r="S39" s="117"/>
      <c r="T39" s="305"/>
      <c r="U39" s="120">
        <f>SUM(O39:T39)</f>
        <v>0</v>
      </c>
      <c r="V39" s="117"/>
      <c r="W39" s="117"/>
      <c r="X39" s="117"/>
      <c r="Y39" s="120">
        <f>SUM(V39:X39)</f>
        <v>0</v>
      </c>
      <c r="Z39" s="117"/>
      <c r="AA39" s="117"/>
      <c r="AB39" s="117"/>
      <c r="AC39" s="120">
        <f>SUM(Z39:AB39)</f>
        <v>0</v>
      </c>
      <c r="AD39" s="131">
        <f>E39+H39+N39+U39+Y39+AC39</f>
        <v>0</v>
      </c>
    </row>
    <row r="40" spans="1:30" ht="12">
      <c r="A40" s="121" t="s">
        <v>1116</v>
      </c>
      <c r="B40" s="122">
        <f aca="true" t="shared" si="15" ref="B40:AD40">SUM(B37:B39)</f>
        <v>0</v>
      </c>
      <c r="C40" s="122"/>
      <c r="D40" s="122">
        <f t="shared" si="15"/>
        <v>0</v>
      </c>
      <c r="E40" s="122">
        <f t="shared" si="15"/>
        <v>0</v>
      </c>
      <c r="F40" s="122">
        <f t="shared" si="15"/>
        <v>0</v>
      </c>
      <c r="G40" s="122">
        <f t="shared" si="15"/>
        <v>0</v>
      </c>
      <c r="H40" s="122">
        <f t="shared" si="15"/>
        <v>0</v>
      </c>
      <c r="I40" s="122">
        <f t="shared" si="15"/>
        <v>0</v>
      </c>
      <c r="J40" s="122">
        <f t="shared" si="15"/>
        <v>0</v>
      </c>
      <c r="K40" s="122">
        <f t="shared" si="15"/>
        <v>0</v>
      </c>
      <c r="L40" s="122">
        <f t="shared" si="15"/>
        <v>0</v>
      </c>
      <c r="M40" s="122">
        <f t="shared" si="15"/>
        <v>0</v>
      </c>
      <c r="N40" s="122">
        <f t="shared" si="15"/>
        <v>0</v>
      </c>
      <c r="O40" s="122">
        <f t="shared" si="15"/>
        <v>0</v>
      </c>
      <c r="P40" s="122">
        <f t="shared" si="15"/>
        <v>0</v>
      </c>
      <c r="Q40" s="122">
        <f t="shared" si="15"/>
        <v>0</v>
      </c>
      <c r="R40" s="122">
        <f t="shared" si="15"/>
        <v>0</v>
      </c>
      <c r="S40" s="122">
        <f t="shared" si="15"/>
        <v>0</v>
      </c>
      <c r="T40" s="307">
        <f t="shared" si="15"/>
        <v>0</v>
      </c>
      <c r="U40" s="122">
        <f t="shared" si="15"/>
        <v>0</v>
      </c>
      <c r="V40" s="122">
        <f t="shared" si="15"/>
        <v>0</v>
      </c>
      <c r="W40" s="122">
        <f t="shared" si="15"/>
        <v>0</v>
      </c>
      <c r="X40" s="122">
        <f t="shared" si="15"/>
        <v>0</v>
      </c>
      <c r="Y40" s="122">
        <f t="shared" si="15"/>
        <v>0</v>
      </c>
      <c r="Z40" s="122">
        <f t="shared" si="15"/>
        <v>0</v>
      </c>
      <c r="AA40" s="122">
        <f t="shared" si="15"/>
        <v>0</v>
      </c>
      <c r="AB40" s="122">
        <f t="shared" si="15"/>
        <v>0</v>
      </c>
      <c r="AC40" s="122">
        <f t="shared" si="15"/>
        <v>0</v>
      </c>
      <c r="AD40" s="122">
        <f t="shared" si="15"/>
        <v>0</v>
      </c>
    </row>
    <row r="41" spans="1:30" ht="12">
      <c r="A41" s="116" t="s">
        <v>1117</v>
      </c>
      <c r="B41" s="118">
        <f aca="true" t="shared" si="16" ref="B41:AD41">B35+B36+B40</f>
        <v>0</v>
      </c>
      <c r="C41" s="118"/>
      <c r="D41" s="118">
        <f t="shared" si="16"/>
        <v>0</v>
      </c>
      <c r="E41" s="118">
        <f t="shared" si="16"/>
        <v>0</v>
      </c>
      <c r="F41" s="118">
        <f t="shared" si="16"/>
        <v>0</v>
      </c>
      <c r="G41" s="118">
        <f t="shared" si="16"/>
        <v>0</v>
      </c>
      <c r="H41" s="118">
        <f t="shared" si="16"/>
        <v>0</v>
      </c>
      <c r="I41" s="118">
        <f t="shared" si="16"/>
        <v>0</v>
      </c>
      <c r="J41" s="118">
        <f t="shared" si="16"/>
        <v>0</v>
      </c>
      <c r="K41" s="118">
        <f t="shared" si="16"/>
        <v>0</v>
      </c>
      <c r="L41" s="118">
        <f t="shared" si="16"/>
        <v>0</v>
      </c>
      <c r="M41" s="118">
        <f t="shared" si="16"/>
        <v>0</v>
      </c>
      <c r="N41" s="118">
        <f t="shared" si="16"/>
        <v>0</v>
      </c>
      <c r="O41" s="118">
        <f t="shared" si="16"/>
        <v>0</v>
      </c>
      <c r="P41" s="118">
        <f t="shared" si="16"/>
        <v>0</v>
      </c>
      <c r="Q41" s="118">
        <f t="shared" si="16"/>
        <v>0</v>
      </c>
      <c r="R41" s="118">
        <f t="shared" si="16"/>
        <v>0</v>
      </c>
      <c r="S41" s="118">
        <f t="shared" si="16"/>
        <v>0</v>
      </c>
      <c r="T41" s="308">
        <f t="shared" si="16"/>
        <v>0</v>
      </c>
      <c r="U41" s="118">
        <f t="shared" si="16"/>
        <v>0</v>
      </c>
      <c r="V41" s="118">
        <f t="shared" si="16"/>
        <v>0</v>
      </c>
      <c r="W41" s="118">
        <f t="shared" si="16"/>
        <v>0</v>
      </c>
      <c r="X41" s="118">
        <f t="shared" si="16"/>
        <v>0</v>
      </c>
      <c r="Y41" s="118">
        <f t="shared" si="16"/>
        <v>0</v>
      </c>
      <c r="Z41" s="118">
        <f t="shared" si="16"/>
        <v>0</v>
      </c>
      <c r="AA41" s="118">
        <f t="shared" si="16"/>
        <v>0</v>
      </c>
      <c r="AB41" s="118">
        <f t="shared" si="16"/>
        <v>0</v>
      </c>
      <c r="AC41" s="118">
        <f t="shared" si="16"/>
        <v>0</v>
      </c>
      <c r="AD41" s="118">
        <f t="shared" si="16"/>
        <v>0</v>
      </c>
    </row>
    <row r="42" spans="1:30" ht="12">
      <c r="A42" s="115" t="s">
        <v>422</v>
      </c>
      <c r="B42" s="117">
        <f>bev!$D$22</f>
        <v>0</v>
      </c>
      <c r="C42" s="117"/>
      <c r="D42" s="117"/>
      <c r="E42" s="120">
        <f>SUM(B42:D42)</f>
        <v>0</v>
      </c>
      <c r="F42" s="117"/>
      <c r="G42" s="117"/>
      <c r="H42" s="120">
        <f>SUM(F42:G42)</f>
        <v>0</v>
      </c>
      <c r="I42" s="117"/>
      <c r="J42" s="117"/>
      <c r="K42" s="117"/>
      <c r="L42" s="117"/>
      <c r="M42" s="117"/>
      <c r="N42" s="120">
        <f>SUM(I42:M42)</f>
        <v>0</v>
      </c>
      <c r="O42" s="117"/>
      <c r="P42" s="117"/>
      <c r="Q42" s="117"/>
      <c r="R42" s="117"/>
      <c r="S42" s="117"/>
      <c r="T42" s="305"/>
      <c r="U42" s="120">
        <f>SUM(O42:T42)</f>
        <v>0</v>
      </c>
      <c r="V42" s="117"/>
      <c r="W42" s="117"/>
      <c r="X42" s="117"/>
      <c r="Y42" s="120">
        <f>SUM(V42:X42)</f>
        <v>0</v>
      </c>
      <c r="Z42" s="117"/>
      <c r="AA42" s="117"/>
      <c r="AB42" s="117"/>
      <c r="AC42" s="120">
        <f>SUM(Z42:AB42)</f>
        <v>0</v>
      </c>
      <c r="AD42" s="131">
        <f aca="true" t="shared" si="17" ref="AD42:AD88">E42+H42+N42+U42+Y42+AC42</f>
        <v>0</v>
      </c>
    </row>
    <row r="43" spans="1:30" ht="12">
      <c r="A43" s="115" t="s">
        <v>423</v>
      </c>
      <c r="B43" s="117">
        <f>bev!$D$23</f>
        <v>0</v>
      </c>
      <c r="C43" s="117"/>
      <c r="D43" s="117"/>
      <c r="E43" s="120">
        <f>SUM(B43:D43)</f>
        <v>0</v>
      </c>
      <c r="F43" s="117"/>
      <c r="G43" s="117"/>
      <c r="H43" s="120">
        <f>SUM(F43:G43)</f>
        <v>0</v>
      </c>
      <c r="I43" s="117"/>
      <c r="J43" s="117"/>
      <c r="K43" s="117"/>
      <c r="L43" s="117"/>
      <c r="M43" s="117"/>
      <c r="N43" s="120">
        <f>SUM(I43:M43)</f>
        <v>0</v>
      </c>
      <c r="O43" s="117"/>
      <c r="P43" s="117"/>
      <c r="Q43" s="117"/>
      <c r="R43" s="117"/>
      <c r="S43" s="117"/>
      <c r="T43" s="305"/>
      <c r="U43" s="120">
        <f>SUM(O43:T43)</f>
        <v>0</v>
      </c>
      <c r="V43" s="117"/>
      <c r="W43" s="117"/>
      <c r="X43" s="117"/>
      <c r="Y43" s="120">
        <f>SUM(V43:X43)</f>
        <v>0</v>
      </c>
      <c r="Z43" s="117"/>
      <c r="AA43" s="117"/>
      <c r="AB43" s="117"/>
      <c r="AC43" s="120">
        <f>SUM(Z43:AB43)</f>
        <v>0</v>
      </c>
      <c r="AD43" s="131">
        <f t="shared" si="17"/>
        <v>0</v>
      </c>
    </row>
    <row r="44" spans="1:30" ht="12">
      <c r="A44" s="115"/>
      <c r="B44" s="117"/>
      <c r="C44" s="117"/>
      <c r="D44" s="117"/>
      <c r="E44" s="120">
        <f>SUM(B44:D44)</f>
        <v>0</v>
      </c>
      <c r="F44" s="117"/>
      <c r="G44" s="117"/>
      <c r="H44" s="120">
        <f>SUM(F44:G44)</f>
        <v>0</v>
      </c>
      <c r="I44" s="117"/>
      <c r="J44" s="117"/>
      <c r="K44" s="117"/>
      <c r="L44" s="117"/>
      <c r="M44" s="117"/>
      <c r="N44" s="120">
        <f>SUM(I44:M44)</f>
        <v>0</v>
      </c>
      <c r="O44" s="117"/>
      <c r="P44" s="117"/>
      <c r="Q44" s="117"/>
      <c r="R44" s="117"/>
      <c r="S44" s="117"/>
      <c r="T44" s="305"/>
      <c r="U44" s="120">
        <f>SUM(O44:T44)</f>
        <v>0</v>
      </c>
      <c r="V44" s="117"/>
      <c r="W44" s="117"/>
      <c r="X44" s="117"/>
      <c r="Y44" s="120">
        <f>SUM(V44:X44)</f>
        <v>0</v>
      </c>
      <c r="Z44" s="117"/>
      <c r="AA44" s="117"/>
      <c r="AB44" s="117"/>
      <c r="AC44" s="120">
        <f>SUM(Z44:AB44)</f>
        <v>0</v>
      </c>
      <c r="AD44" s="131">
        <f t="shared" si="17"/>
        <v>0</v>
      </c>
    </row>
    <row r="45" spans="1:30" ht="12">
      <c r="A45" s="116" t="s">
        <v>1118</v>
      </c>
      <c r="B45" s="118">
        <f aca="true" t="shared" si="18" ref="B45:AD45">SUM(B42:B44)</f>
        <v>0</v>
      </c>
      <c r="C45" s="118"/>
      <c r="D45" s="118">
        <f t="shared" si="18"/>
        <v>0</v>
      </c>
      <c r="E45" s="118">
        <f t="shared" si="18"/>
        <v>0</v>
      </c>
      <c r="F45" s="118">
        <f t="shared" si="18"/>
        <v>0</v>
      </c>
      <c r="G45" s="118">
        <f t="shared" si="18"/>
        <v>0</v>
      </c>
      <c r="H45" s="118">
        <f t="shared" si="18"/>
        <v>0</v>
      </c>
      <c r="I45" s="118">
        <f t="shared" si="18"/>
        <v>0</v>
      </c>
      <c r="J45" s="118">
        <f t="shared" si="18"/>
        <v>0</v>
      </c>
      <c r="K45" s="118">
        <f t="shared" si="18"/>
        <v>0</v>
      </c>
      <c r="L45" s="118">
        <f t="shared" si="18"/>
        <v>0</v>
      </c>
      <c r="M45" s="118">
        <f t="shared" si="18"/>
        <v>0</v>
      </c>
      <c r="N45" s="118">
        <f t="shared" si="18"/>
        <v>0</v>
      </c>
      <c r="O45" s="118">
        <f t="shared" si="18"/>
        <v>0</v>
      </c>
      <c r="P45" s="118">
        <f t="shared" si="18"/>
        <v>0</v>
      </c>
      <c r="Q45" s="118">
        <f t="shared" si="18"/>
        <v>0</v>
      </c>
      <c r="R45" s="118">
        <f t="shared" si="18"/>
        <v>0</v>
      </c>
      <c r="S45" s="118">
        <f t="shared" si="18"/>
        <v>0</v>
      </c>
      <c r="T45" s="308">
        <f t="shared" si="18"/>
        <v>0</v>
      </c>
      <c r="U45" s="118">
        <f t="shared" si="18"/>
        <v>0</v>
      </c>
      <c r="V45" s="118">
        <f t="shared" si="18"/>
        <v>0</v>
      </c>
      <c r="W45" s="118">
        <f t="shared" si="18"/>
        <v>0</v>
      </c>
      <c r="X45" s="118">
        <f t="shared" si="18"/>
        <v>0</v>
      </c>
      <c r="Y45" s="118">
        <f t="shared" si="18"/>
        <v>0</v>
      </c>
      <c r="Z45" s="118">
        <f t="shared" si="18"/>
        <v>0</v>
      </c>
      <c r="AA45" s="118">
        <f t="shared" si="18"/>
        <v>0</v>
      </c>
      <c r="AB45" s="118">
        <f t="shared" si="18"/>
        <v>0</v>
      </c>
      <c r="AC45" s="118">
        <f t="shared" si="18"/>
        <v>0</v>
      </c>
      <c r="AD45" s="118">
        <f t="shared" si="18"/>
        <v>0</v>
      </c>
    </row>
    <row r="46" spans="1:30" ht="12">
      <c r="A46" s="115" t="s">
        <v>1119</v>
      </c>
      <c r="B46" s="117">
        <f>bev!$D$12</f>
        <v>190</v>
      </c>
      <c r="C46" s="117"/>
      <c r="D46" s="117"/>
      <c r="E46" s="120">
        <f>SUM(B46:D46)</f>
        <v>190</v>
      </c>
      <c r="F46" s="117"/>
      <c r="G46" s="117"/>
      <c r="H46" s="120">
        <f>SUM(F46:G46)</f>
        <v>0</v>
      </c>
      <c r="I46" s="117"/>
      <c r="J46" s="117"/>
      <c r="K46" s="117"/>
      <c r="L46" s="117"/>
      <c r="M46" s="117"/>
      <c r="N46" s="120">
        <f>SUM(I46:M46)</f>
        <v>0</v>
      </c>
      <c r="O46" s="117"/>
      <c r="P46" s="117"/>
      <c r="Q46" s="117"/>
      <c r="R46" s="117"/>
      <c r="S46" s="117"/>
      <c r="T46" s="305"/>
      <c r="U46" s="120">
        <f>SUM(O46:T46)</f>
        <v>0</v>
      </c>
      <c r="V46" s="117"/>
      <c r="W46" s="117"/>
      <c r="X46" s="117"/>
      <c r="Y46" s="120">
        <f>SUM(V46:X46)</f>
        <v>0</v>
      </c>
      <c r="Z46" s="117"/>
      <c r="AA46" s="117"/>
      <c r="AB46" s="117"/>
      <c r="AC46" s="120">
        <f>SUM(Z46:AB46)</f>
        <v>0</v>
      </c>
      <c r="AD46" s="346">
        <f t="shared" si="17"/>
        <v>190</v>
      </c>
    </row>
    <row r="47" spans="1:30" ht="12">
      <c r="A47" s="115"/>
      <c r="B47" s="117"/>
      <c r="C47" s="117"/>
      <c r="D47" s="117"/>
      <c r="E47" s="120">
        <f>SUM(B47:D47)</f>
        <v>0</v>
      </c>
      <c r="F47" s="117"/>
      <c r="G47" s="117"/>
      <c r="H47" s="120">
        <f>SUM(F47:G47)</f>
        <v>0</v>
      </c>
      <c r="I47" s="117"/>
      <c r="J47" s="117"/>
      <c r="K47" s="117"/>
      <c r="L47" s="117"/>
      <c r="M47" s="117"/>
      <c r="N47" s="120">
        <f>SUM(I47:M47)</f>
        <v>0</v>
      </c>
      <c r="O47" s="117"/>
      <c r="P47" s="117"/>
      <c r="Q47" s="117"/>
      <c r="R47" s="117"/>
      <c r="S47" s="117"/>
      <c r="T47" s="305"/>
      <c r="U47" s="120">
        <f>SUM(O47:T47)</f>
        <v>0</v>
      </c>
      <c r="V47" s="117"/>
      <c r="W47" s="117"/>
      <c r="X47" s="117"/>
      <c r="Y47" s="120">
        <f>SUM(V47:X47)</f>
        <v>0</v>
      </c>
      <c r="Z47" s="117"/>
      <c r="AA47" s="117"/>
      <c r="AB47" s="117"/>
      <c r="AC47" s="120">
        <f>SUM(Z47:AB47)</f>
        <v>0</v>
      </c>
      <c r="AD47" s="131">
        <f t="shared" si="17"/>
        <v>0</v>
      </c>
    </row>
    <row r="48" spans="1:30" ht="12">
      <c r="A48" s="115"/>
      <c r="B48" s="117"/>
      <c r="C48" s="117"/>
      <c r="D48" s="117"/>
      <c r="E48" s="120">
        <f>SUM(B48:D48)</f>
        <v>0</v>
      </c>
      <c r="F48" s="117"/>
      <c r="G48" s="117"/>
      <c r="H48" s="120">
        <f>SUM(F48:G48)</f>
        <v>0</v>
      </c>
      <c r="I48" s="117"/>
      <c r="J48" s="117"/>
      <c r="K48" s="117"/>
      <c r="L48" s="117"/>
      <c r="M48" s="117"/>
      <c r="N48" s="120">
        <f>SUM(I48:M48)</f>
        <v>0</v>
      </c>
      <c r="O48" s="117"/>
      <c r="P48" s="117"/>
      <c r="Q48" s="117"/>
      <c r="R48" s="117"/>
      <c r="S48" s="117"/>
      <c r="T48" s="305"/>
      <c r="U48" s="120">
        <f>SUM(O48:T48)</f>
        <v>0</v>
      </c>
      <c r="V48" s="117"/>
      <c r="W48" s="117"/>
      <c r="X48" s="117"/>
      <c r="Y48" s="120">
        <f>SUM(V48:X48)</f>
        <v>0</v>
      </c>
      <c r="Z48" s="117"/>
      <c r="AA48" s="117"/>
      <c r="AB48" s="117"/>
      <c r="AC48" s="120">
        <f>SUM(Z48:AB48)</f>
        <v>0</v>
      </c>
      <c r="AD48" s="131">
        <f t="shared" si="17"/>
        <v>0</v>
      </c>
    </row>
    <row r="49" spans="1:30" ht="12">
      <c r="A49" s="116" t="s">
        <v>1120</v>
      </c>
      <c r="B49" s="118">
        <f aca="true" t="shared" si="19" ref="B49:AD49">SUM(B46:B48)</f>
        <v>190</v>
      </c>
      <c r="C49" s="118"/>
      <c r="D49" s="118">
        <f t="shared" si="19"/>
        <v>0</v>
      </c>
      <c r="E49" s="118">
        <f t="shared" si="19"/>
        <v>190</v>
      </c>
      <c r="F49" s="118">
        <f t="shared" si="19"/>
        <v>0</v>
      </c>
      <c r="G49" s="118">
        <f t="shared" si="19"/>
        <v>0</v>
      </c>
      <c r="H49" s="118">
        <f t="shared" si="19"/>
        <v>0</v>
      </c>
      <c r="I49" s="118">
        <f t="shared" si="19"/>
        <v>0</v>
      </c>
      <c r="J49" s="118">
        <f t="shared" si="19"/>
        <v>0</v>
      </c>
      <c r="K49" s="118">
        <f t="shared" si="19"/>
        <v>0</v>
      </c>
      <c r="L49" s="118">
        <f t="shared" si="19"/>
        <v>0</v>
      </c>
      <c r="M49" s="118">
        <f t="shared" si="19"/>
        <v>0</v>
      </c>
      <c r="N49" s="118">
        <f t="shared" si="19"/>
        <v>0</v>
      </c>
      <c r="O49" s="118">
        <f t="shared" si="19"/>
        <v>0</v>
      </c>
      <c r="P49" s="118">
        <f t="shared" si="19"/>
        <v>0</v>
      </c>
      <c r="Q49" s="118">
        <f t="shared" si="19"/>
        <v>0</v>
      </c>
      <c r="R49" s="118">
        <f t="shared" si="19"/>
        <v>0</v>
      </c>
      <c r="S49" s="118">
        <f t="shared" si="19"/>
        <v>0</v>
      </c>
      <c r="T49" s="308">
        <f t="shared" si="19"/>
        <v>0</v>
      </c>
      <c r="U49" s="118">
        <f t="shared" si="19"/>
        <v>0</v>
      </c>
      <c r="V49" s="118">
        <f t="shared" si="19"/>
        <v>0</v>
      </c>
      <c r="W49" s="118">
        <f t="shared" si="19"/>
        <v>0</v>
      </c>
      <c r="X49" s="118">
        <f t="shared" si="19"/>
        <v>0</v>
      </c>
      <c r="Y49" s="118">
        <f t="shared" si="19"/>
        <v>0</v>
      </c>
      <c r="Z49" s="118">
        <f t="shared" si="19"/>
        <v>0</v>
      </c>
      <c r="AA49" s="118">
        <f t="shared" si="19"/>
        <v>0</v>
      </c>
      <c r="AB49" s="118">
        <f t="shared" si="19"/>
        <v>0</v>
      </c>
      <c r="AC49" s="118">
        <f t="shared" si="19"/>
        <v>0</v>
      </c>
      <c r="AD49" s="308">
        <f t="shared" si="19"/>
        <v>190</v>
      </c>
    </row>
    <row r="50" spans="1:30" ht="12">
      <c r="A50" s="127" t="s">
        <v>1121</v>
      </c>
      <c r="B50" s="128"/>
      <c r="C50" s="128"/>
      <c r="D50" s="117"/>
      <c r="E50" s="120">
        <f>SUM(B50:D50)</f>
        <v>0</v>
      </c>
      <c r="F50" s="117"/>
      <c r="G50" s="117"/>
      <c r="H50" s="120">
        <f>SUM(F50:G50)</f>
        <v>0</v>
      </c>
      <c r="I50" s="117"/>
      <c r="J50" s="117"/>
      <c r="K50" s="117"/>
      <c r="L50" s="117"/>
      <c r="M50" s="117"/>
      <c r="N50" s="120">
        <f>SUM(I50:M50)</f>
        <v>0</v>
      </c>
      <c r="O50" s="117"/>
      <c r="P50" s="117"/>
      <c r="Q50" s="117"/>
      <c r="R50" s="117"/>
      <c r="S50" s="117"/>
      <c r="T50" s="305"/>
      <c r="U50" s="120">
        <f>SUM(O50:T50)</f>
        <v>0</v>
      </c>
      <c r="V50" s="117"/>
      <c r="W50" s="117"/>
      <c r="X50" s="117"/>
      <c r="Y50" s="120">
        <f>SUM(V50:X50)</f>
        <v>0</v>
      </c>
      <c r="Z50" s="117"/>
      <c r="AA50" s="117">
        <v>660</v>
      </c>
      <c r="AB50" s="117"/>
      <c r="AC50" s="120">
        <f>SUM(Z50:AB50)</f>
        <v>660</v>
      </c>
      <c r="AD50" s="346">
        <f t="shared" si="17"/>
        <v>660</v>
      </c>
    </row>
    <row r="51" spans="1:30" ht="12">
      <c r="A51" s="127" t="s">
        <v>1122</v>
      </c>
      <c r="B51" s="128">
        <v>4512</v>
      </c>
      <c r="C51" s="128"/>
      <c r="D51" s="117">
        <f>bev!D17</f>
        <v>2876</v>
      </c>
      <c r="E51" s="120">
        <f>SUM(B51:D51)</f>
        <v>7388</v>
      </c>
      <c r="F51" s="117"/>
      <c r="G51" s="117"/>
      <c r="H51" s="120">
        <f>SUM(F51:G51)</f>
        <v>0</v>
      </c>
      <c r="I51" s="117"/>
      <c r="J51" s="117"/>
      <c r="K51" s="117"/>
      <c r="L51" s="117"/>
      <c r="M51" s="117"/>
      <c r="N51" s="120">
        <f>SUM(I51:M51)</f>
        <v>0</v>
      </c>
      <c r="O51" s="117"/>
      <c r="P51" s="117"/>
      <c r="Q51" s="117"/>
      <c r="R51" s="117"/>
      <c r="S51" s="117"/>
      <c r="T51" s="305"/>
      <c r="U51" s="120">
        <f>SUM(O51:T51)</f>
        <v>0</v>
      </c>
      <c r="V51" s="117"/>
      <c r="W51" s="117"/>
      <c r="X51" s="117"/>
      <c r="Y51" s="120">
        <f>SUM(V51:X51)</f>
        <v>0</v>
      </c>
      <c r="Z51" s="117"/>
      <c r="AA51" s="117"/>
      <c r="AB51" s="117"/>
      <c r="AC51" s="120">
        <f>SUM(Z51:AB51)</f>
        <v>0</v>
      </c>
      <c r="AD51" s="346">
        <f t="shared" si="17"/>
        <v>7388</v>
      </c>
    </row>
    <row r="52" spans="1:30" ht="12">
      <c r="A52" s="127" t="s">
        <v>1123</v>
      </c>
      <c r="B52" s="128"/>
      <c r="C52" s="128"/>
      <c r="D52" s="117"/>
      <c r="E52" s="120">
        <f>SUM(B52:D52)</f>
        <v>0</v>
      </c>
      <c r="F52" s="117"/>
      <c r="G52" s="117"/>
      <c r="H52" s="120">
        <f>SUM(F52:G52)</f>
        <v>0</v>
      </c>
      <c r="I52" s="117"/>
      <c r="J52" s="117"/>
      <c r="K52" s="117"/>
      <c r="L52" s="117"/>
      <c r="M52" s="117"/>
      <c r="N52" s="120">
        <f>SUM(I52:M52)</f>
        <v>0</v>
      </c>
      <c r="O52" s="117"/>
      <c r="P52" s="117"/>
      <c r="Q52" s="117">
        <f>bev!$D$123</f>
        <v>3490</v>
      </c>
      <c r="R52" s="117"/>
      <c r="S52" s="117"/>
      <c r="T52" s="305"/>
      <c r="U52" s="120">
        <f>SUM(O52:T52)</f>
        <v>3490</v>
      </c>
      <c r="V52" s="117"/>
      <c r="W52" s="117"/>
      <c r="X52" s="117"/>
      <c r="Y52" s="120">
        <f>SUM(V52:X52)</f>
        <v>0</v>
      </c>
      <c r="Z52" s="117"/>
      <c r="AA52" s="117"/>
      <c r="AB52" s="117"/>
      <c r="AC52" s="120">
        <f>SUM(Z52:AB52)</f>
        <v>0</v>
      </c>
      <c r="AD52" s="346">
        <f t="shared" si="17"/>
        <v>3490</v>
      </c>
    </row>
    <row r="53" spans="1:30" ht="12">
      <c r="A53" s="127" t="s">
        <v>737</v>
      </c>
      <c r="B53" s="128">
        <v>100</v>
      </c>
      <c r="C53" s="128"/>
      <c r="D53" s="117"/>
      <c r="E53" s="120">
        <f>SUM(B53:D53)</f>
        <v>100</v>
      </c>
      <c r="F53" s="117"/>
      <c r="G53" s="117"/>
      <c r="H53" s="120">
        <f>SUM(F53:G53)</f>
        <v>0</v>
      </c>
      <c r="I53" s="117"/>
      <c r="J53" s="117"/>
      <c r="K53" s="117"/>
      <c r="L53" s="117"/>
      <c r="M53" s="117"/>
      <c r="N53" s="120">
        <f>SUM(I53:M53)</f>
        <v>0</v>
      </c>
      <c r="O53" s="117">
        <f>bev!$D$108</f>
        <v>255</v>
      </c>
      <c r="P53" s="117"/>
      <c r="Q53" s="117"/>
      <c r="R53" s="117"/>
      <c r="S53" s="117"/>
      <c r="T53" s="305"/>
      <c r="U53" s="120">
        <f>SUM(O53:T53)</f>
        <v>255</v>
      </c>
      <c r="V53" s="117"/>
      <c r="W53" s="117"/>
      <c r="X53" s="117"/>
      <c r="Y53" s="120">
        <f>SUM(V53:X53)</f>
        <v>0</v>
      </c>
      <c r="Z53" s="117"/>
      <c r="AA53" s="117"/>
      <c r="AB53" s="117"/>
      <c r="AC53" s="120">
        <f>SUM(Z53:AB53)</f>
        <v>0</v>
      </c>
      <c r="AD53" s="346">
        <f t="shared" si="17"/>
        <v>355</v>
      </c>
    </row>
    <row r="54" spans="1:30" ht="12">
      <c r="A54" s="127" t="s">
        <v>1124</v>
      </c>
      <c r="B54" s="128">
        <v>622</v>
      </c>
      <c r="C54" s="128"/>
      <c r="D54" s="117"/>
      <c r="E54" s="120">
        <f>SUM(B54:D54)</f>
        <v>622</v>
      </c>
      <c r="F54" s="117"/>
      <c r="G54" s="117"/>
      <c r="H54" s="120">
        <f>SUM(F54:G54)</f>
        <v>0</v>
      </c>
      <c r="I54" s="117"/>
      <c r="J54" s="117"/>
      <c r="K54" s="117"/>
      <c r="L54" s="117"/>
      <c r="M54" s="117"/>
      <c r="N54" s="120">
        <f>SUM(I54:M54)</f>
        <v>0</v>
      </c>
      <c r="O54" s="117"/>
      <c r="P54" s="117"/>
      <c r="Q54" s="117"/>
      <c r="R54" s="117"/>
      <c r="S54" s="117"/>
      <c r="T54" s="305">
        <v>171</v>
      </c>
      <c r="U54" s="120">
        <f>SUM(O54:T54)</f>
        <v>171</v>
      </c>
      <c r="V54" s="117"/>
      <c r="W54" s="117"/>
      <c r="X54" s="117"/>
      <c r="Y54" s="120">
        <f>SUM(V54:X54)</f>
        <v>0</v>
      </c>
      <c r="Z54" s="117"/>
      <c r="AA54" s="117"/>
      <c r="AB54" s="117"/>
      <c r="AC54" s="120">
        <f>SUM(Z54:AB54)</f>
        <v>0</v>
      </c>
      <c r="AD54" s="346">
        <f t="shared" si="17"/>
        <v>793</v>
      </c>
    </row>
    <row r="55" spans="1:30" ht="12">
      <c r="A55" s="116" t="s">
        <v>1155</v>
      </c>
      <c r="B55" s="118">
        <f aca="true" t="shared" si="20" ref="B55:AC55">SUM(B50:B54)</f>
        <v>5234</v>
      </c>
      <c r="C55" s="118"/>
      <c r="D55" s="118">
        <f t="shared" si="20"/>
        <v>2876</v>
      </c>
      <c r="E55" s="118">
        <f t="shared" si="20"/>
        <v>8110</v>
      </c>
      <c r="F55" s="118">
        <f t="shared" si="20"/>
        <v>0</v>
      </c>
      <c r="G55" s="118">
        <f t="shared" si="20"/>
        <v>0</v>
      </c>
      <c r="H55" s="118">
        <f t="shared" si="20"/>
        <v>0</v>
      </c>
      <c r="I55" s="118">
        <f t="shared" si="20"/>
        <v>0</v>
      </c>
      <c r="J55" s="118">
        <f t="shared" si="20"/>
        <v>0</v>
      </c>
      <c r="K55" s="118">
        <f t="shared" si="20"/>
        <v>0</v>
      </c>
      <c r="L55" s="118">
        <f t="shared" si="20"/>
        <v>0</v>
      </c>
      <c r="M55" s="118">
        <f t="shared" si="20"/>
        <v>0</v>
      </c>
      <c r="N55" s="118">
        <f t="shared" si="20"/>
        <v>0</v>
      </c>
      <c r="O55" s="118">
        <f t="shared" si="20"/>
        <v>255</v>
      </c>
      <c r="P55" s="118">
        <f t="shared" si="20"/>
        <v>0</v>
      </c>
      <c r="Q55" s="118">
        <f t="shared" si="20"/>
        <v>3490</v>
      </c>
      <c r="R55" s="118">
        <f t="shared" si="20"/>
        <v>0</v>
      </c>
      <c r="S55" s="118">
        <f t="shared" si="20"/>
        <v>0</v>
      </c>
      <c r="T55" s="308">
        <f t="shared" si="20"/>
        <v>171</v>
      </c>
      <c r="U55" s="118">
        <f t="shared" si="20"/>
        <v>3916</v>
      </c>
      <c r="V55" s="118">
        <f t="shared" si="20"/>
        <v>0</v>
      </c>
      <c r="W55" s="118">
        <f t="shared" si="20"/>
        <v>0</v>
      </c>
      <c r="X55" s="118">
        <f t="shared" si="20"/>
        <v>0</v>
      </c>
      <c r="Y55" s="118">
        <f t="shared" si="20"/>
        <v>0</v>
      </c>
      <c r="Z55" s="118">
        <f t="shared" si="20"/>
        <v>0</v>
      </c>
      <c r="AA55" s="118">
        <f t="shared" si="20"/>
        <v>660</v>
      </c>
      <c r="AB55" s="118">
        <f t="shared" si="20"/>
        <v>0</v>
      </c>
      <c r="AC55" s="118">
        <f t="shared" si="20"/>
        <v>660</v>
      </c>
      <c r="AD55" s="308">
        <f>SUM(AD50:AD54)</f>
        <v>12686</v>
      </c>
    </row>
    <row r="56" spans="1:30" ht="12">
      <c r="A56" s="115" t="s">
        <v>1156</v>
      </c>
      <c r="B56" s="117"/>
      <c r="C56" s="117"/>
      <c r="D56" s="117"/>
      <c r="E56" s="120">
        <f>SUM(B56:D56)</f>
        <v>0</v>
      </c>
      <c r="F56" s="117"/>
      <c r="G56" s="117"/>
      <c r="H56" s="120">
        <f>SUM(F56:G56)</f>
        <v>0</v>
      </c>
      <c r="I56" s="117"/>
      <c r="J56" s="117"/>
      <c r="K56" s="117"/>
      <c r="L56" s="117"/>
      <c r="M56" s="117"/>
      <c r="N56" s="120">
        <f>SUM(I56:M56)</f>
        <v>0</v>
      </c>
      <c r="O56" s="117"/>
      <c r="P56" s="117"/>
      <c r="Q56" s="117"/>
      <c r="R56" s="117"/>
      <c r="S56" s="117"/>
      <c r="T56" s="305"/>
      <c r="U56" s="120">
        <f>SUM(O56:T56)</f>
        <v>0</v>
      </c>
      <c r="V56" s="117"/>
      <c r="W56" s="117"/>
      <c r="X56" s="117"/>
      <c r="Y56" s="120">
        <f>SUM(V56:X56)</f>
        <v>0</v>
      </c>
      <c r="Z56" s="117"/>
      <c r="AA56" s="117"/>
      <c r="AB56" s="117"/>
      <c r="AC56" s="120">
        <f>SUM(Z56:AB56)</f>
        <v>0</v>
      </c>
      <c r="AD56" s="131">
        <f t="shared" si="17"/>
        <v>0</v>
      </c>
    </row>
    <row r="57" spans="1:30" ht="12">
      <c r="A57" s="115" t="s">
        <v>202</v>
      </c>
      <c r="B57" s="117">
        <v>0</v>
      </c>
      <c r="C57" s="117"/>
      <c r="D57" s="117"/>
      <c r="E57" s="120">
        <f>SUM(B57:D57)</f>
        <v>0</v>
      </c>
      <c r="F57" s="117"/>
      <c r="G57" s="117"/>
      <c r="H57" s="120">
        <f>SUM(F57:G57)</f>
        <v>0</v>
      </c>
      <c r="I57" s="117"/>
      <c r="J57" s="117"/>
      <c r="K57" s="117"/>
      <c r="L57" s="117"/>
      <c r="M57" s="117"/>
      <c r="N57" s="120">
        <f>SUM(I57:M57)</f>
        <v>0</v>
      </c>
      <c r="O57" s="117"/>
      <c r="P57" s="117"/>
      <c r="Q57" s="117"/>
      <c r="R57" s="117"/>
      <c r="S57" s="117"/>
      <c r="T57" s="305"/>
      <c r="U57" s="120">
        <f>SUM(O57:T57)</f>
        <v>0</v>
      </c>
      <c r="V57" s="117"/>
      <c r="W57" s="117"/>
      <c r="X57" s="117"/>
      <c r="Y57" s="120">
        <f>SUM(V57:X57)</f>
        <v>0</v>
      </c>
      <c r="Z57" s="117"/>
      <c r="AA57" s="305">
        <f>bev!$D$279</f>
        <v>2042</v>
      </c>
      <c r="AB57" s="117"/>
      <c r="AC57" s="120">
        <f>SUM(Z57:AB57)</f>
        <v>2042</v>
      </c>
      <c r="AD57" s="347">
        <f t="shared" si="17"/>
        <v>2042</v>
      </c>
    </row>
    <row r="58" spans="1:30" ht="12">
      <c r="A58" s="115" t="s">
        <v>203</v>
      </c>
      <c r="B58" s="117"/>
      <c r="C58" s="117"/>
      <c r="D58" s="117"/>
      <c r="E58" s="120">
        <f>SUM(B58:D58)</f>
        <v>0</v>
      </c>
      <c r="F58" s="117"/>
      <c r="G58" s="117"/>
      <c r="H58" s="120">
        <f>SUM(F58:G58)</f>
        <v>0</v>
      </c>
      <c r="I58" s="117"/>
      <c r="J58" s="117"/>
      <c r="K58" s="117"/>
      <c r="L58" s="117"/>
      <c r="M58" s="117"/>
      <c r="N58" s="120">
        <f>SUM(I58:M58)</f>
        <v>0</v>
      </c>
      <c r="O58" s="117"/>
      <c r="P58" s="117"/>
      <c r="Q58" s="117"/>
      <c r="R58" s="117"/>
      <c r="S58" s="117"/>
      <c r="T58" s="305"/>
      <c r="U58" s="120">
        <f>SUM(O58:T58)</f>
        <v>0</v>
      </c>
      <c r="V58" s="117"/>
      <c r="W58" s="117"/>
      <c r="X58" s="117"/>
      <c r="Y58" s="120">
        <f>SUM(V58:X58)</f>
        <v>0</v>
      </c>
      <c r="Z58" s="117"/>
      <c r="AA58" s="305">
        <f>bev!$D$280</f>
        <v>60</v>
      </c>
      <c r="AB58" s="117"/>
      <c r="AC58" s="120">
        <f>SUM(Z58:AB58)</f>
        <v>60</v>
      </c>
      <c r="AD58" s="347">
        <f t="shared" si="17"/>
        <v>60</v>
      </c>
    </row>
    <row r="59" spans="1:30" ht="12">
      <c r="A59" s="115" t="s">
        <v>204</v>
      </c>
      <c r="B59" s="117"/>
      <c r="C59" s="117"/>
      <c r="D59" s="117"/>
      <c r="E59" s="120">
        <f>SUM(B59:D59)</f>
        <v>0</v>
      </c>
      <c r="F59" s="117"/>
      <c r="G59" s="117"/>
      <c r="H59" s="120">
        <f>SUM(F59:G59)</f>
        <v>0</v>
      </c>
      <c r="I59" s="117"/>
      <c r="J59" s="117"/>
      <c r="K59" s="117"/>
      <c r="L59" s="117"/>
      <c r="M59" s="117"/>
      <c r="N59" s="120">
        <f>SUM(I59:M59)</f>
        <v>0</v>
      </c>
      <c r="O59" s="117"/>
      <c r="P59" s="117"/>
      <c r="Q59" s="117"/>
      <c r="R59" s="117"/>
      <c r="S59" s="117"/>
      <c r="T59" s="305"/>
      <c r="U59" s="120">
        <f>SUM(O59:T59)</f>
        <v>0</v>
      </c>
      <c r="V59" s="117"/>
      <c r="W59" s="117"/>
      <c r="X59" s="117"/>
      <c r="Y59" s="120">
        <f>SUM(V59:X59)</f>
        <v>0</v>
      </c>
      <c r="Z59" s="117"/>
      <c r="AA59" s="305">
        <f>bev!$D$281</f>
        <v>1650</v>
      </c>
      <c r="AB59" s="117"/>
      <c r="AC59" s="120">
        <f>SUM(Z59:AB59)</f>
        <v>1650</v>
      </c>
      <c r="AD59" s="347">
        <f t="shared" si="17"/>
        <v>1650</v>
      </c>
    </row>
    <row r="60" spans="1:30" ht="12">
      <c r="A60" s="115" t="s">
        <v>205</v>
      </c>
      <c r="B60" s="117"/>
      <c r="C60" s="117"/>
      <c r="D60" s="117"/>
      <c r="E60" s="120">
        <f>SUM(B60:D60)</f>
        <v>0</v>
      </c>
      <c r="F60" s="117"/>
      <c r="G60" s="117"/>
      <c r="H60" s="120">
        <f>SUM(F60:G60)</f>
        <v>0</v>
      </c>
      <c r="I60" s="117"/>
      <c r="J60" s="117"/>
      <c r="K60" s="117"/>
      <c r="L60" s="117"/>
      <c r="M60" s="117"/>
      <c r="N60" s="120">
        <f>SUM(I60:M60)</f>
        <v>0</v>
      </c>
      <c r="O60" s="117"/>
      <c r="P60" s="117"/>
      <c r="Q60" s="117"/>
      <c r="R60" s="117"/>
      <c r="S60" s="117"/>
      <c r="T60" s="305"/>
      <c r="U60" s="120">
        <f>SUM(O60:T60)</f>
        <v>0</v>
      </c>
      <c r="V60" s="117"/>
      <c r="W60" s="117"/>
      <c r="X60" s="117"/>
      <c r="Y60" s="120">
        <f>SUM(V60:X60)</f>
        <v>0</v>
      </c>
      <c r="Z60" s="117"/>
      <c r="AA60" s="305">
        <f>bev!$D$282</f>
        <v>129</v>
      </c>
      <c r="AB60" s="117"/>
      <c r="AC60" s="120">
        <f>SUM(Z60:AB60)</f>
        <v>129</v>
      </c>
      <c r="AD60" s="347">
        <f t="shared" si="17"/>
        <v>129</v>
      </c>
    </row>
    <row r="61" spans="1:30" ht="12">
      <c r="A61" s="116" t="s">
        <v>206</v>
      </c>
      <c r="B61" s="118">
        <f aca="true" t="shared" si="21" ref="B61:AD61">SUM(B57:B60)</f>
        <v>0</v>
      </c>
      <c r="C61" s="118"/>
      <c r="D61" s="118">
        <f t="shared" si="21"/>
        <v>0</v>
      </c>
      <c r="E61" s="118">
        <f t="shared" si="21"/>
        <v>0</v>
      </c>
      <c r="F61" s="118">
        <f t="shared" si="21"/>
        <v>0</v>
      </c>
      <c r="G61" s="118">
        <f t="shared" si="21"/>
        <v>0</v>
      </c>
      <c r="H61" s="118">
        <f t="shared" si="21"/>
        <v>0</v>
      </c>
      <c r="I61" s="118">
        <f t="shared" si="21"/>
        <v>0</v>
      </c>
      <c r="J61" s="118">
        <f t="shared" si="21"/>
        <v>0</v>
      </c>
      <c r="K61" s="118">
        <f t="shared" si="21"/>
        <v>0</v>
      </c>
      <c r="L61" s="118">
        <f t="shared" si="21"/>
        <v>0</v>
      </c>
      <c r="M61" s="118">
        <f t="shared" si="21"/>
        <v>0</v>
      </c>
      <c r="N61" s="118">
        <f t="shared" si="21"/>
        <v>0</v>
      </c>
      <c r="O61" s="118">
        <f t="shared" si="21"/>
        <v>0</v>
      </c>
      <c r="P61" s="118">
        <f t="shared" si="21"/>
        <v>0</v>
      </c>
      <c r="Q61" s="118">
        <f t="shared" si="21"/>
        <v>0</v>
      </c>
      <c r="R61" s="118">
        <f t="shared" si="21"/>
        <v>0</v>
      </c>
      <c r="S61" s="118">
        <f t="shared" si="21"/>
        <v>0</v>
      </c>
      <c r="T61" s="308">
        <f t="shared" si="21"/>
        <v>0</v>
      </c>
      <c r="U61" s="118">
        <f t="shared" si="21"/>
        <v>0</v>
      </c>
      <c r="V61" s="118">
        <f t="shared" si="21"/>
        <v>0</v>
      </c>
      <c r="W61" s="118">
        <f t="shared" si="21"/>
        <v>0</v>
      </c>
      <c r="X61" s="118">
        <f t="shared" si="21"/>
        <v>0</v>
      </c>
      <c r="Y61" s="118">
        <f t="shared" si="21"/>
        <v>0</v>
      </c>
      <c r="Z61" s="118">
        <f t="shared" si="21"/>
        <v>0</v>
      </c>
      <c r="AA61" s="118">
        <f t="shared" si="21"/>
        <v>3881</v>
      </c>
      <c r="AB61" s="118">
        <f t="shared" si="21"/>
        <v>0</v>
      </c>
      <c r="AC61" s="118">
        <f>SUM(AC57:AC60)</f>
        <v>3881</v>
      </c>
      <c r="AD61" s="308">
        <f t="shared" si="21"/>
        <v>3881</v>
      </c>
    </row>
    <row r="62" spans="1:30" ht="12">
      <c r="A62" s="115" t="s">
        <v>1051</v>
      </c>
      <c r="B62" s="117">
        <v>0</v>
      </c>
      <c r="C62" s="117"/>
      <c r="D62" s="117"/>
      <c r="E62" s="120">
        <f>SUM(B62:D62)</f>
        <v>0</v>
      </c>
      <c r="F62" s="117"/>
      <c r="G62" s="117"/>
      <c r="H62" s="120">
        <f>SUM(F62:G62)</f>
        <v>0</v>
      </c>
      <c r="I62" s="117"/>
      <c r="J62" s="117"/>
      <c r="K62" s="117"/>
      <c r="L62" s="117"/>
      <c r="M62" s="117"/>
      <c r="N62" s="120">
        <f>SUM(I62:M62)</f>
        <v>0</v>
      </c>
      <c r="O62" s="117"/>
      <c r="P62" s="117"/>
      <c r="Q62" s="117"/>
      <c r="R62" s="117"/>
      <c r="S62" s="117"/>
      <c r="T62" s="305"/>
      <c r="U62" s="120">
        <f>SUM(O62:T62)</f>
        <v>0</v>
      </c>
      <c r="V62" s="117"/>
      <c r="W62" s="117"/>
      <c r="X62" s="117"/>
      <c r="Y62" s="120">
        <f>SUM(V62:X62)</f>
        <v>0</v>
      </c>
      <c r="Z62" s="117"/>
      <c r="AA62" s="305">
        <f>bev!$D$291</f>
        <v>5677</v>
      </c>
      <c r="AB62" s="117"/>
      <c r="AC62" s="120">
        <f>SUM(Z62:AB62)</f>
        <v>5677</v>
      </c>
      <c r="AD62" s="347">
        <f t="shared" si="17"/>
        <v>5677</v>
      </c>
    </row>
    <row r="63" spans="1:30" ht="12">
      <c r="A63" s="115" t="s">
        <v>1052</v>
      </c>
      <c r="B63" s="117"/>
      <c r="C63" s="117"/>
      <c r="D63" s="117"/>
      <c r="E63" s="120">
        <f>SUM(B63:D63)</f>
        <v>0</v>
      </c>
      <c r="F63" s="117"/>
      <c r="G63" s="117"/>
      <c r="H63" s="120">
        <f>SUM(F63:G63)</f>
        <v>0</v>
      </c>
      <c r="I63" s="117"/>
      <c r="J63" s="117"/>
      <c r="K63" s="117"/>
      <c r="L63" s="117"/>
      <c r="M63" s="117"/>
      <c r="N63" s="120">
        <f>SUM(I63:M63)</f>
        <v>0</v>
      </c>
      <c r="O63" s="117"/>
      <c r="P63" s="117"/>
      <c r="Q63" s="117"/>
      <c r="R63" s="117"/>
      <c r="S63" s="117"/>
      <c r="T63" s="305"/>
      <c r="U63" s="120">
        <f>SUM(O63:T63)</f>
        <v>0</v>
      </c>
      <c r="V63" s="117"/>
      <c r="W63" s="117"/>
      <c r="X63" s="117"/>
      <c r="Y63" s="120">
        <f>SUM(V63:X63)</f>
        <v>0</v>
      </c>
      <c r="Z63" s="117"/>
      <c r="AA63" s="305">
        <f>bev!$D$296</f>
        <v>23280</v>
      </c>
      <c r="AB63" s="117"/>
      <c r="AC63" s="120">
        <f>SUM(Z63:AB63)</f>
        <v>23280</v>
      </c>
      <c r="AD63" s="347">
        <f t="shared" si="17"/>
        <v>23280</v>
      </c>
    </row>
    <row r="64" spans="1:30" ht="12">
      <c r="A64" s="115" t="s">
        <v>207</v>
      </c>
      <c r="B64" s="117"/>
      <c r="C64" s="117"/>
      <c r="D64" s="117"/>
      <c r="E64" s="120">
        <f>SUM(B64:D64)</f>
        <v>0</v>
      </c>
      <c r="F64" s="117"/>
      <c r="G64" s="117"/>
      <c r="H64" s="120">
        <f>SUM(F64:G64)</f>
        <v>0</v>
      </c>
      <c r="I64" s="117"/>
      <c r="J64" s="117"/>
      <c r="K64" s="117"/>
      <c r="L64" s="117"/>
      <c r="M64" s="117"/>
      <c r="N64" s="120">
        <f>SUM(I64:M64)</f>
        <v>0</v>
      </c>
      <c r="O64" s="117"/>
      <c r="P64" s="117"/>
      <c r="Q64" s="117"/>
      <c r="R64" s="117"/>
      <c r="S64" s="117"/>
      <c r="T64" s="305"/>
      <c r="U64" s="120">
        <f>SUM(O64:T64)</f>
        <v>0</v>
      </c>
      <c r="V64" s="117"/>
      <c r="W64" s="117"/>
      <c r="X64" s="117"/>
      <c r="Y64" s="120">
        <f>SUM(V64:X64)</f>
        <v>0</v>
      </c>
      <c r="Z64" s="117"/>
      <c r="AA64" s="117">
        <f>bev!$D$297</f>
        <v>0</v>
      </c>
      <c r="AB64" s="117"/>
      <c r="AC64" s="120">
        <f>SUM(Z64:AB64)</f>
        <v>0</v>
      </c>
      <c r="AD64" s="131">
        <f t="shared" si="17"/>
        <v>0</v>
      </c>
    </row>
    <row r="65" spans="1:30" ht="12">
      <c r="A65" s="121" t="s">
        <v>209</v>
      </c>
      <c r="B65" s="122">
        <f aca="true" t="shared" si="22" ref="B65:AD65">SUM(B62:B64)</f>
        <v>0</v>
      </c>
      <c r="C65" s="122"/>
      <c r="D65" s="122">
        <f t="shared" si="22"/>
        <v>0</v>
      </c>
      <c r="E65" s="122">
        <f t="shared" si="22"/>
        <v>0</v>
      </c>
      <c r="F65" s="122">
        <f t="shared" si="22"/>
        <v>0</v>
      </c>
      <c r="G65" s="122">
        <f t="shared" si="22"/>
        <v>0</v>
      </c>
      <c r="H65" s="122">
        <f t="shared" si="22"/>
        <v>0</v>
      </c>
      <c r="I65" s="122">
        <f t="shared" si="22"/>
        <v>0</v>
      </c>
      <c r="J65" s="122">
        <f t="shared" si="22"/>
        <v>0</v>
      </c>
      <c r="K65" s="122">
        <f t="shared" si="22"/>
        <v>0</v>
      </c>
      <c r="L65" s="122">
        <f t="shared" si="22"/>
        <v>0</v>
      </c>
      <c r="M65" s="122">
        <f t="shared" si="22"/>
        <v>0</v>
      </c>
      <c r="N65" s="122">
        <f t="shared" si="22"/>
        <v>0</v>
      </c>
      <c r="O65" s="122">
        <f t="shared" si="22"/>
        <v>0</v>
      </c>
      <c r="P65" s="122">
        <f t="shared" si="22"/>
        <v>0</v>
      </c>
      <c r="Q65" s="122">
        <f t="shared" si="22"/>
        <v>0</v>
      </c>
      <c r="R65" s="122">
        <f t="shared" si="22"/>
        <v>0</v>
      </c>
      <c r="S65" s="122">
        <f t="shared" si="22"/>
        <v>0</v>
      </c>
      <c r="T65" s="307">
        <f t="shared" si="22"/>
        <v>0</v>
      </c>
      <c r="U65" s="122">
        <f t="shared" si="22"/>
        <v>0</v>
      </c>
      <c r="V65" s="122">
        <f t="shared" si="22"/>
        <v>0</v>
      </c>
      <c r="W65" s="122">
        <f t="shared" si="22"/>
        <v>0</v>
      </c>
      <c r="X65" s="122">
        <f t="shared" si="22"/>
        <v>0</v>
      </c>
      <c r="Y65" s="122">
        <f t="shared" si="22"/>
        <v>0</v>
      </c>
      <c r="Z65" s="122">
        <f t="shared" si="22"/>
        <v>0</v>
      </c>
      <c r="AA65" s="122">
        <f t="shared" si="22"/>
        <v>28957</v>
      </c>
      <c r="AB65" s="122">
        <f t="shared" si="22"/>
        <v>0</v>
      </c>
      <c r="AC65" s="122">
        <f t="shared" si="22"/>
        <v>28957</v>
      </c>
      <c r="AD65" s="122">
        <f t="shared" si="22"/>
        <v>28957</v>
      </c>
    </row>
    <row r="66" spans="1:30" ht="12">
      <c r="A66" s="115" t="s">
        <v>210</v>
      </c>
      <c r="B66" s="117"/>
      <c r="C66" s="117"/>
      <c r="D66" s="117"/>
      <c r="E66" s="120">
        <f>SUM(B66:D66)</f>
        <v>0</v>
      </c>
      <c r="F66" s="117"/>
      <c r="G66" s="117"/>
      <c r="H66" s="120">
        <f>SUM(F66:G66)</f>
        <v>0</v>
      </c>
      <c r="I66" s="117"/>
      <c r="J66" s="117"/>
      <c r="K66" s="117"/>
      <c r="L66" s="117"/>
      <c r="M66" s="117"/>
      <c r="N66" s="120">
        <f>SUM(I66:M66)</f>
        <v>0</v>
      </c>
      <c r="O66" s="117"/>
      <c r="P66" s="117"/>
      <c r="Q66" s="117"/>
      <c r="R66" s="117"/>
      <c r="S66" s="117"/>
      <c r="T66" s="305"/>
      <c r="U66" s="120">
        <f>SUM(O66:T66)</f>
        <v>0</v>
      </c>
      <c r="V66" s="117"/>
      <c r="W66" s="117"/>
      <c r="X66" s="117"/>
      <c r="Y66" s="120">
        <f>SUM(V66:X66)</f>
        <v>0</v>
      </c>
      <c r="Z66" s="117"/>
      <c r="AA66" s="305">
        <f>bev!$D$305</f>
        <v>2240</v>
      </c>
      <c r="AB66" s="117"/>
      <c r="AC66" s="120">
        <f>SUM(Z66:AB66)</f>
        <v>2240</v>
      </c>
      <c r="AD66" s="347">
        <f>E66+H66+N66+U66+Y66+AC66</f>
        <v>2240</v>
      </c>
    </row>
    <row r="67" spans="1:30" ht="12">
      <c r="A67" s="115" t="s">
        <v>211</v>
      </c>
      <c r="B67" s="117"/>
      <c r="C67" s="117"/>
      <c r="D67" s="117"/>
      <c r="E67" s="120">
        <f>SUM(B67:D67)</f>
        <v>0</v>
      </c>
      <c r="F67" s="117"/>
      <c r="G67" s="117"/>
      <c r="H67" s="120">
        <f>SUM(F67:G67)</f>
        <v>0</v>
      </c>
      <c r="I67" s="117"/>
      <c r="J67" s="117"/>
      <c r="K67" s="117"/>
      <c r="L67" s="117"/>
      <c r="M67" s="117"/>
      <c r="N67" s="120">
        <f>SUM(I67:M67)</f>
        <v>0</v>
      </c>
      <c r="O67" s="117"/>
      <c r="P67" s="117"/>
      <c r="Q67" s="117"/>
      <c r="R67" s="117"/>
      <c r="S67" s="117"/>
      <c r="T67" s="305"/>
      <c r="U67" s="120">
        <f>SUM(O67:T67)</f>
        <v>0</v>
      </c>
      <c r="V67" s="117"/>
      <c r="W67" s="117"/>
      <c r="X67" s="117"/>
      <c r="Y67" s="120">
        <f>SUM(V67:X67)</f>
        <v>0</v>
      </c>
      <c r="Z67" s="117"/>
      <c r="AA67" s="117">
        <f>bev!$D$308</f>
        <v>0</v>
      </c>
      <c r="AB67" s="117"/>
      <c r="AC67" s="120">
        <f>SUM(Z67:AB67)</f>
        <v>0</v>
      </c>
      <c r="AD67" s="131">
        <f t="shared" si="17"/>
        <v>0</v>
      </c>
    </row>
    <row r="68" spans="1:30" ht="12">
      <c r="A68" s="115" t="s">
        <v>212</v>
      </c>
      <c r="B68" s="117"/>
      <c r="C68" s="117"/>
      <c r="D68" s="117"/>
      <c r="E68" s="120">
        <f>SUM(B68:D68)</f>
        <v>0</v>
      </c>
      <c r="F68" s="117"/>
      <c r="G68" s="117"/>
      <c r="H68" s="120">
        <f>SUM(F68:G68)</f>
        <v>0</v>
      </c>
      <c r="I68" s="117"/>
      <c r="J68" s="117"/>
      <c r="K68" s="117"/>
      <c r="L68" s="117"/>
      <c r="M68" s="117"/>
      <c r="N68" s="120">
        <f>SUM(I68:M68)</f>
        <v>0</v>
      </c>
      <c r="O68" s="117"/>
      <c r="P68" s="117"/>
      <c r="Q68" s="117"/>
      <c r="R68" s="117"/>
      <c r="S68" s="117"/>
      <c r="T68" s="305"/>
      <c r="U68" s="120">
        <f>SUM(O68:T68)</f>
        <v>0</v>
      </c>
      <c r="V68" s="117"/>
      <c r="W68" s="117"/>
      <c r="X68" s="117"/>
      <c r="Y68" s="120">
        <f>SUM(V68:X68)</f>
        <v>0</v>
      </c>
      <c r="Z68" s="117"/>
      <c r="AA68" s="117">
        <f>bev!$D$309</f>
        <v>0</v>
      </c>
      <c r="AB68" s="117"/>
      <c r="AC68" s="120">
        <f>SUM(Z68:AB68)</f>
        <v>0</v>
      </c>
      <c r="AD68" s="131">
        <f t="shared" si="17"/>
        <v>0</v>
      </c>
    </row>
    <row r="69" spans="1:30" ht="12">
      <c r="A69" s="116" t="s">
        <v>1025</v>
      </c>
      <c r="B69" s="118">
        <f aca="true" t="shared" si="23" ref="B69:AD69">B65+B66+B67+B68</f>
        <v>0</v>
      </c>
      <c r="C69" s="118"/>
      <c r="D69" s="118">
        <f t="shared" si="23"/>
        <v>0</v>
      </c>
      <c r="E69" s="118">
        <f t="shared" si="23"/>
        <v>0</v>
      </c>
      <c r="F69" s="118">
        <f t="shared" si="23"/>
        <v>0</v>
      </c>
      <c r="G69" s="118">
        <f t="shared" si="23"/>
        <v>0</v>
      </c>
      <c r="H69" s="118">
        <f t="shared" si="23"/>
        <v>0</v>
      </c>
      <c r="I69" s="118">
        <f t="shared" si="23"/>
        <v>0</v>
      </c>
      <c r="J69" s="118">
        <f t="shared" si="23"/>
        <v>0</v>
      </c>
      <c r="K69" s="118">
        <f t="shared" si="23"/>
        <v>0</v>
      </c>
      <c r="L69" s="118">
        <f t="shared" si="23"/>
        <v>0</v>
      </c>
      <c r="M69" s="118">
        <f t="shared" si="23"/>
        <v>0</v>
      </c>
      <c r="N69" s="118">
        <f t="shared" si="23"/>
        <v>0</v>
      </c>
      <c r="O69" s="118">
        <f t="shared" si="23"/>
        <v>0</v>
      </c>
      <c r="P69" s="118">
        <f t="shared" si="23"/>
        <v>0</v>
      </c>
      <c r="Q69" s="118">
        <f t="shared" si="23"/>
        <v>0</v>
      </c>
      <c r="R69" s="118">
        <f t="shared" si="23"/>
        <v>0</v>
      </c>
      <c r="S69" s="118">
        <f t="shared" si="23"/>
        <v>0</v>
      </c>
      <c r="T69" s="308">
        <f t="shared" si="23"/>
        <v>0</v>
      </c>
      <c r="U69" s="118">
        <f t="shared" si="23"/>
        <v>0</v>
      </c>
      <c r="V69" s="118">
        <f t="shared" si="23"/>
        <v>0</v>
      </c>
      <c r="W69" s="118">
        <f t="shared" si="23"/>
        <v>0</v>
      </c>
      <c r="X69" s="118">
        <f t="shared" si="23"/>
        <v>0</v>
      </c>
      <c r="Y69" s="118">
        <f t="shared" si="23"/>
        <v>0</v>
      </c>
      <c r="Z69" s="118">
        <f t="shared" si="23"/>
        <v>0</v>
      </c>
      <c r="AA69" s="118">
        <f t="shared" si="23"/>
        <v>31197</v>
      </c>
      <c r="AB69" s="118">
        <f t="shared" si="23"/>
        <v>0</v>
      </c>
      <c r="AC69" s="118">
        <f t="shared" si="23"/>
        <v>31197</v>
      </c>
      <c r="AD69" s="118">
        <f t="shared" si="23"/>
        <v>31197</v>
      </c>
    </row>
    <row r="70" spans="1:30" ht="12">
      <c r="A70" s="115"/>
      <c r="B70" s="117"/>
      <c r="C70" s="117"/>
      <c r="D70" s="117"/>
      <c r="E70" s="120">
        <f>SUM(B70:D70)</f>
        <v>0</v>
      </c>
      <c r="F70" s="117"/>
      <c r="G70" s="117"/>
      <c r="H70" s="120">
        <f>SUM(F70:G70)</f>
        <v>0</v>
      </c>
      <c r="I70" s="117"/>
      <c r="J70" s="117"/>
      <c r="K70" s="117"/>
      <c r="L70" s="117"/>
      <c r="M70" s="117"/>
      <c r="N70" s="120">
        <f>SUM(I70:M70)</f>
        <v>0</v>
      </c>
      <c r="O70" s="117"/>
      <c r="P70" s="117"/>
      <c r="Q70" s="117"/>
      <c r="R70" s="117"/>
      <c r="S70" s="117"/>
      <c r="T70" s="305"/>
      <c r="U70" s="120">
        <f>SUM(O70:T70)</f>
        <v>0</v>
      </c>
      <c r="V70" s="117"/>
      <c r="W70" s="117"/>
      <c r="X70" s="117"/>
      <c r="Y70" s="120">
        <f>SUM(V70:X70)</f>
        <v>0</v>
      </c>
      <c r="Z70" s="117"/>
      <c r="AA70" s="117"/>
      <c r="AB70" s="117"/>
      <c r="AC70" s="120">
        <f>SUM(Z70:AB70)</f>
        <v>0</v>
      </c>
      <c r="AD70" s="131">
        <f t="shared" si="17"/>
        <v>0</v>
      </c>
    </row>
    <row r="71" spans="1:30" ht="12">
      <c r="A71" s="115"/>
      <c r="B71" s="117"/>
      <c r="C71" s="117"/>
      <c r="D71" s="117"/>
      <c r="E71" s="120">
        <f>SUM(B71:D71)</f>
        <v>0</v>
      </c>
      <c r="F71" s="117"/>
      <c r="G71" s="117"/>
      <c r="H71" s="120">
        <f>SUM(F71:G71)</f>
        <v>0</v>
      </c>
      <c r="I71" s="117"/>
      <c r="J71" s="117"/>
      <c r="K71" s="117"/>
      <c r="L71" s="117"/>
      <c r="M71" s="117"/>
      <c r="N71" s="120">
        <f>SUM(I71:M71)</f>
        <v>0</v>
      </c>
      <c r="O71" s="117"/>
      <c r="P71" s="117"/>
      <c r="Q71" s="117"/>
      <c r="R71" s="117"/>
      <c r="S71" s="117"/>
      <c r="T71" s="305"/>
      <c r="U71" s="120">
        <f>SUM(O71:T71)</f>
        <v>0</v>
      </c>
      <c r="V71" s="117"/>
      <c r="W71" s="117"/>
      <c r="X71" s="117"/>
      <c r="Y71" s="120">
        <f>SUM(V71:X71)</f>
        <v>0</v>
      </c>
      <c r="Z71" s="117"/>
      <c r="AA71" s="117"/>
      <c r="AB71" s="117"/>
      <c r="AC71" s="120">
        <f>SUM(Z71:AB71)</f>
        <v>0</v>
      </c>
      <c r="AD71" s="131">
        <f t="shared" si="17"/>
        <v>0</v>
      </c>
    </row>
    <row r="72" spans="1:30" ht="12">
      <c r="A72" s="115" t="s">
        <v>1026</v>
      </c>
      <c r="B72" s="117"/>
      <c r="C72" s="117"/>
      <c r="D72" s="117"/>
      <c r="E72" s="120">
        <f>SUM(B72:D72)</f>
        <v>0</v>
      </c>
      <c r="F72" s="117"/>
      <c r="G72" s="117"/>
      <c r="H72" s="120">
        <f>SUM(F72:G72)</f>
        <v>0</v>
      </c>
      <c r="I72" s="117"/>
      <c r="J72" s="117"/>
      <c r="K72" s="117"/>
      <c r="L72" s="117"/>
      <c r="M72" s="117"/>
      <c r="N72" s="120">
        <f>SUM(I72:M72)</f>
        <v>0</v>
      </c>
      <c r="O72" s="117"/>
      <c r="P72" s="117"/>
      <c r="Q72" s="117"/>
      <c r="R72" s="117"/>
      <c r="S72" s="117"/>
      <c r="T72" s="305"/>
      <c r="U72" s="120">
        <f>SUM(O72:T72)</f>
        <v>0</v>
      </c>
      <c r="V72" s="117"/>
      <c r="W72" s="117"/>
      <c r="X72" s="117"/>
      <c r="Y72" s="120">
        <f>SUM(V72:X72)</f>
        <v>0</v>
      </c>
      <c r="Z72" s="117"/>
      <c r="AA72" s="305">
        <f>bev!$D$313</f>
        <v>4</v>
      </c>
      <c r="AB72" s="117"/>
      <c r="AC72" s="120">
        <f>SUM(Z72:AB72)</f>
        <v>4</v>
      </c>
      <c r="AD72" s="347">
        <f t="shared" si="17"/>
        <v>4</v>
      </c>
    </row>
    <row r="73" spans="1:30" ht="12">
      <c r="A73" s="123" t="s">
        <v>1027</v>
      </c>
      <c r="B73" s="124">
        <f aca="true" t="shared" si="24" ref="B73:AD73">B61+B69+B70+B71+B72</f>
        <v>0</v>
      </c>
      <c r="C73" s="124"/>
      <c r="D73" s="124">
        <f t="shared" si="24"/>
        <v>0</v>
      </c>
      <c r="E73" s="124">
        <f t="shared" si="24"/>
        <v>0</v>
      </c>
      <c r="F73" s="124">
        <f t="shared" si="24"/>
        <v>0</v>
      </c>
      <c r="G73" s="124">
        <f t="shared" si="24"/>
        <v>0</v>
      </c>
      <c r="H73" s="124">
        <f t="shared" si="24"/>
        <v>0</v>
      </c>
      <c r="I73" s="124">
        <f t="shared" si="24"/>
        <v>0</v>
      </c>
      <c r="J73" s="124">
        <f t="shared" si="24"/>
        <v>0</v>
      </c>
      <c r="K73" s="124">
        <f t="shared" si="24"/>
        <v>0</v>
      </c>
      <c r="L73" s="124">
        <f t="shared" si="24"/>
        <v>0</v>
      </c>
      <c r="M73" s="124">
        <f t="shared" si="24"/>
        <v>0</v>
      </c>
      <c r="N73" s="124">
        <f t="shared" si="24"/>
        <v>0</v>
      </c>
      <c r="O73" s="124">
        <f t="shared" si="24"/>
        <v>0</v>
      </c>
      <c r="P73" s="124">
        <f t="shared" si="24"/>
        <v>0</v>
      </c>
      <c r="Q73" s="124">
        <f t="shared" si="24"/>
        <v>0</v>
      </c>
      <c r="R73" s="124">
        <f t="shared" si="24"/>
        <v>0</v>
      </c>
      <c r="S73" s="124">
        <f t="shared" si="24"/>
        <v>0</v>
      </c>
      <c r="T73" s="338">
        <f t="shared" si="24"/>
        <v>0</v>
      </c>
      <c r="U73" s="124">
        <f t="shared" si="24"/>
        <v>0</v>
      </c>
      <c r="V73" s="124">
        <f t="shared" si="24"/>
        <v>0</v>
      </c>
      <c r="W73" s="124">
        <f t="shared" si="24"/>
        <v>0</v>
      </c>
      <c r="X73" s="124">
        <f t="shared" si="24"/>
        <v>0</v>
      </c>
      <c r="Y73" s="124">
        <f t="shared" si="24"/>
        <v>0</v>
      </c>
      <c r="Z73" s="124">
        <f t="shared" si="24"/>
        <v>0</v>
      </c>
      <c r="AA73" s="124">
        <f>AA61+AA69+AA70+AA71+AA72</f>
        <v>35082</v>
      </c>
      <c r="AB73" s="124">
        <f t="shared" si="24"/>
        <v>0</v>
      </c>
      <c r="AC73" s="124">
        <f>AC61+AC69+AC70+AC71+AC72</f>
        <v>35082</v>
      </c>
      <c r="AD73" s="124">
        <f t="shared" si="24"/>
        <v>35082</v>
      </c>
    </row>
    <row r="74" spans="1:30" ht="12">
      <c r="A74" s="115" t="s">
        <v>1028</v>
      </c>
      <c r="B74" s="117">
        <v>0</v>
      </c>
      <c r="C74" s="117"/>
      <c r="D74" s="117"/>
      <c r="E74" s="120">
        <f aca="true" t="shared" si="25" ref="E74:E79">SUM(B74:D74)</f>
        <v>0</v>
      </c>
      <c r="F74" s="117"/>
      <c r="G74" s="117"/>
      <c r="H74" s="120">
        <f aca="true" t="shared" si="26" ref="H74:H79">SUM(F74:G74)</f>
        <v>0</v>
      </c>
      <c r="I74" s="117"/>
      <c r="J74" s="117"/>
      <c r="K74" s="117"/>
      <c r="L74" s="117"/>
      <c r="M74" s="117"/>
      <c r="N74" s="120">
        <f aca="true" t="shared" si="27" ref="N74:N79">SUM(I74:M74)</f>
        <v>0</v>
      </c>
      <c r="O74" s="117"/>
      <c r="P74" s="117"/>
      <c r="Q74" s="117"/>
      <c r="R74" s="117"/>
      <c r="S74" s="117"/>
      <c r="T74" s="305"/>
      <c r="U74" s="120">
        <f aca="true" t="shared" si="28" ref="U74:U79">SUM(O74:T74)</f>
        <v>0</v>
      </c>
      <c r="V74" s="117"/>
      <c r="W74" s="117"/>
      <c r="X74" s="117"/>
      <c r="Y74" s="120">
        <f aca="true" t="shared" si="29" ref="Y74:Y79">SUM(V74:X74)</f>
        <v>0</v>
      </c>
      <c r="Z74" s="117"/>
      <c r="AA74" s="305">
        <f>bev!$D$326</f>
        <v>17679</v>
      </c>
      <c r="AB74" s="117"/>
      <c r="AC74" s="120">
        <f aca="true" t="shared" si="30" ref="AC74:AC79">SUM(Z74:AB74)</f>
        <v>17679</v>
      </c>
      <c r="AD74" s="347">
        <f t="shared" si="17"/>
        <v>17679</v>
      </c>
    </row>
    <row r="75" spans="1:30" ht="12">
      <c r="A75" s="115" t="s">
        <v>1029</v>
      </c>
      <c r="B75" s="117"/>
      <c r="C75" s="117"/>
      <c r="D75" s="117"/>
      <c r="E75" s="120">
        <f t="shared" si="25"/>
        <v>0</v>
      </c>
      <c r="F75" s="117"/>
      <c r="G75" s="117"/>
      <c r="H75" s="120">
        <f t="shared" si="26"/>
        <v>0</v>
      </c>
      <c r="I75" s="117"/>
      <c r="J75" s="117"/>
      <c r="K75" s="117"/>
      <c r="L75" s="117"/>
      <c r="M75" s="117"/>
      <c r="N75" s="120">
        <f t="shared" si="27"/>
        <v>0</v>
      </c>
      <c r="O75" s="117"/>
      <c r="P75" s="117"/>
      <c r="Q75" s="117"/>
      <c r="R75" s="117"/>
      <c r="S75" s="117"/>
      <c r="T75" s="305"/>
      <c r="U75" s="120">
        <f t="shared" si="28"/>
        <v>0</v>
      </c>
      <c r="V75" s="117"/>
      <c r="W75" s="117"/>
      <c r="X75" s="117"/>
      <c r="Y75" s="120">
        <f t="shared" si="29"/>
        <v>0</v>
      </c>
      <c r="Z75" s="117"/>
      <c r="AA75" s="305">
        <v>810</v>
      </c>
      <c r="AB75" s="117"/>
      <c r="AC75" s="120">
        <f t="shared" si="30"/>
        <v>810</v>
      </c>
      <c r="AD75" s="347">
        <f t="shared" si="17"/>
        <v>810</v>
      </c>
    </row>
    <row r="76" spans="1:30" ht="12">
      <c r="A76" s="115" t="s">
        <v>1030</v>
      </c>
      <c r="B76" s="117"/>
      <c r="C76" s="117"/>
      <c r="D76" s="117"/>
      <c r="E76" s="120">
        <f t="shared" si="25"/>
        <v>0</v>
      </c>
      <c r="F76" s="117"/>
      <c r="G76" s="117"/>
      <c r="H76" s="120">
        <f t="shared" si="26"/>
        <v>0</v>
      </c>
      <c r="I76" s="117"/>
      <c r="J76" s="117"/>
      <c r="K76" s="117"/>
      <c r="L76" s="117"/>
      <c r="M76" s="117"/>
      <c r="N76" s="120">
        <f t="shared" si="27"/>
        <v>0</v>
      </c>
      <c r="O76" s="117"/>
      <c r="P76" s="117"/>
      <c r="Q76" s="117"/>
      <c r="R76" s="117"/>
      <c r="S76" s="117"/>
      <c r="T76" s="305"/>
      <c r="U76" s="120">
        <f t="shared" si="28"/>
        <v>0</v>
      </c>
      <c r="V76" s="117"/>
      <c r="W76" s="117"/>
      <c r="X76" s="117"/>
      <c r="Y76" s="120">
        <f t="shared" si="29"/>
        <v>0</v>
      </c>
      <c r="Z76" s="117"/>
      <c r="AA76" s="305">
        <f>bev!$D$329</f>
        <v>12000</v>
      </c>
      <c r="AB76" s="117"/>
      <c r="AC76" s="120">
        <f t="shared" si="30"/>
        <v>12000</v>
      </c>
      <c r="AD76" s="347">
        <f t="shared" si="17"/>
        <v>12000</v>
      </c>
    </row>
    <row r="77" spans="1:30" ht="12">
      <c r="A77" s="115" t="s">
        <v>1324</v>
      </c>
      <c r="B77" s="117">
        <v>0</v>
      </c>
      <c r="C77" s="117"/>
      <c r="D77" s="117"/>
      <c r="E77" s="120">
        <f t="shared" si="25"/>
        <v>0</v>
      </c>
      <c r="F77" s="117"/>
      <c r="G77" s="117"/>
      <c r="H77" s="120">
        <f t="shared" si="26"/>
        <v>0</v>
      </c>
      <c r="I77" s="117"/>
      <c r="J77" s="117"/>
      <c r="K77" s="117"/>
      <c r="L77" s="117"/>
      <c r="M77" s="117"/>
      <c r="N77" s="120">
        <f t="shared" si="27"/>
        <v>0</v>
      </c>
      <c r="O77" s="117"/>
      <c r="P77" s="117"/>
      <c r="Q77" s="117"/>
      <c r="R77" s="117"/>
      <c r="S77" s="117"/>
      <c r="T77" s="305"/>
      <c r="U77" s="120">
        <f t="shared" si="28"/>
        <v>0</v>
      </c>
      <c r="V77" s="117"/>
      <c r="W77" s="117"/>
      <c r="X77" s="117"/>
      <c r="Y77" s="120">
        <f t="shared" si="29"/>
        <v>0</v>
      </c>
      <c r="Z77" s="117"/>
      <c r="AA77" s="305">
        <v>1560</v>
      </c>
      <c r="AB77" s="117"/>
      <c r="AC77" s="120">
        <f t="shared" si="30"/>
        <v>1560</v>
      </c>
      <c r="AD77" s="347">
        <f t="shared" si="17"/>
        <v>1560</v>
      </c>
    </row>
    <row r="78" spans="1:30" ht="12">
      <c r="A78" s="115" t="s">
        <v>1031</v>
      </c>
      <c r="B78" s="117"/>
      <c r="C78" s="117"/>
      <c r="D78" s="117"/>
      <c r="E78" s="120">
        <f t="shared" si="25"/>
        <v>0</v>
      </c>
      <c r="F78" s="117"/>
      <c r="G78" s="117"/>
      <c r="H78" s="120">
        <f t="shared" si="26"/>
        <v>0</v>
      </c>
      <c r="I78" s="117"/>
      <c r="J78" s="117"/>
      <c r="K78" s="117"/>
      <c r="L78" s="117"/>
      <c r="M78" s="117"/>
      <c r="N78" s="120">
        <f t="shared" si="27"/>
        <v>0</v>
      </c>
      <c r="O78" s="117"/>
      <c r="P78" s="117"/>
      <c r="Q78" s="117"/>
      <c r="R78" s="117"/>
      <c r="S78" s="117"/>
      <c r="T78" s="305"/>
      <c r="U78" s="120">
        <f t="shared" si="28"/>
        <v>0</v>
      </c>
      <c r="V78" s="117"/>
      <c r="W78" s="117"/>
      <c r="X78" s="117"/>
      <c r="Y78" s="120">
        <f t="shared" si="29"/>
        <v>0</v>
      </c>
      <c r="Z78" s="117"/>
      <c r="AA78" s="305">
        <f>bev!$D$351</f>
        <v>15832</v>
      </c>
      <c r="AB78" s="117"/>
      <c r="AC78" s="120">
        <f t="shared" si="30"/>
        <v>15832</v>
      </c>
      <c r="AD78" s="347">
        <f t="shared" si="17"/>
        <v>15832</v>
      </c>
    </row>
    <row r="79" spans="1:30" ht="12">
      <c r="A79" s="115" t="s">
        <v>1032</v>
      </c>
      <c r="B79" s="117"/>
      <c r="C79" s="117"/>
      <c r="D79" s="117"/>
      <c r="E79" s="120">
        <f t="shared" si="25"/>
        <v>0</v>
      </c>
      <c r="F79" s="117"/>
      <c r="G79" s="117"/>
      <c r="H79" s="120">
        <f t="shared" si="26"/>
        <v>0</v>
      </c>
      <c r="I79" s="117"/>
      <c r="J79" s="117"/>
      <c r="K79" s="117"/>
      <c r="L79" s="117"/>
      <c r="M79" s="117"/>
      <c r="N79" s="120">
        <f t="shared" si="27"/>
        <v>0</v>
      </c>
      <c r="O79" s="117"/>
      <c r="P79" s="117"/>
      <c r="Q79" s="117"/>
      <c r="R79" s="117"/>
      <c r="S79" s="117"/>
      <c r="T79" s="305"/>
      <c r="U79" s="120">
        <f t="shared" si="28"/>
        <v>0</v>
      </c>
      <c r="V79" s="117"/>
      <c r="W79" s="117"/>
      <c r="X79" s="117"/>
      <c r="Y79" s="120">
        <f t="shared" si="29"/>
        <v>0</v>
      </c>
      <c r="Z79" s="117"/>
      <c r="AA79" s="305">
        <f>bev!D353</f>
        <v>4208</v>
      </c>
      <c r="AB79" s="117"/>
      <c r="AC79" s="120">
        <f t="shared" si="30"/>
        <v>4208</v>
      </c>
      <c r="AD79" s="347">
        <f t="shared" si="17"/>
        <v>4208</v>
      </c>
    </row>
    <row r="80" spans="1:30" ht="12">
      <c r="A80" s="116" t="s">
        <v>1033</v>
      </c>
      <c r="B80" s="118">
        <f aca="true" t="shared" si="31" ref="B80:AB80">SUM(B77:B79)</f>
        <v>0</v>
      </c>
      <c r="C80" s="118"/>
      <c r="D80" s="118">
        <f t="shared" si="31"/>
        <v>0</v>
      </c>
      <c r="E80" s="118">
        <f t="shared" si="31"/>
        <v>0</v>
      </c>
      <c r="F80" s="118">
        <f t="shared" si="31"/>
        <v>0</v>
      </c>
      <c r="G80" s="118">
        <f t="shared" si="31"/>
        <v>0</v>
      </c>
      <c r="H80" s="118">
        <f t="shared" si="31"/>
        <v>0</v>
      </c>
      <c r="I80" s="118">
        <f t="shared" si="31"/>
        <v>0</v>
      </c>
      <c r="J80" s="118">
        <f t="shared" si="31"/>
        <v>0</v>
      </c>
      <c r="K80" s="118">
        <f t="shared" si="31"/>
        <v>0</v>
      </c>
      <c r="L80" s="118">
        <f t="shared" si="31"/>
        <v>0</v>
      </c>
      <c r="M80" s="118">
        <f t="shared" si="31"/>
        <v>0</v>
      </c>
      <c r="N80" s="118">
        <f t="shared" si="31"/>
        <v>0</v>
      </c>
      <c r="O80" s="118">
        <f t="shared" si="31"/>
        <v>0</v>
      </c>
      <c r="P80" s="118">
        <f t="shared" si="31"/>
        <v>0</v>
      </c>
      <c r="Q80" s="118">
        <f t="shared" si="31"/>
        <v>0</v>
      </c>
      <c r="R80" s="118">
        <f t="shared" si="31"/>
        <v>0</v>
      </c>
      <c r="S80" s="118">
        <f t="shared" si="31"/>
        <v>0</v>
      </c>
      <c r="T80" s="308">
        <f t="shared" si="31"/>
        <v>0</v>
      </c>
      <c r="U80" s="118">
        <f t="shared" si="31"/>
        <v>0</v>
      </c>
      <c r="V80" s="118">
        <f t="shared" si="31"/>
        <v>0</v>
      </c>
      <c r="W80" s="118">
        <f t="shared" si="31"/>
        <v>0</v>
      </c>
      <c r="X80" s="118">
        <f t="shared" si="31"/>
        <v>0</v>
      </c>
      <c r="Y80" s="118">
        <f t="shared" si="31"/>
        <v>0</v>
      </c>
      <c r="Z80" s="118">
        <f t="shared" si="31"/>
        <v>0</v>
      </c>
      <c r="AA80" s="118">
        <f>SUM(AA77:AA79)</f>
        <v>21600</v>
      </c>
      <c r="AB80" s="118">
        <f t="shared" si="31"/>
        <v>0</v>
      </c>
      <c r="AC80" s="118">
        <f>SUM(AC77:AC79)</f>
        <v>21600</v>
      </c>
      <c r="AD80" s="308">
        <f>SUM(AD77:AD79)</f>
        <v>21600</v>
      </c>
    </row>
    <row r="81" spans="1:30" ht="12">
      <c r="A81" s="115" t="s">
        <v>1034</v>
      </c>
      <c r="B81" s="117"/>
      <c r="C81" s="117"/>
      <c r="D81" s="117"/>
      <c r="E81" s="120">
        <f>SUM(B81:D81)</f>
        <v>0</v>
      </c>
      <c r="F81" s="117"/>
      <c r="G81" s="117"/>
      <c r="H81" s="120">
        <f>SUM(F81:G81)</f>
        <v>0</v>
      </c>
      <c r="I81" s="117"/>
      <c r="J81" s="117"/>
      <c r="K81" s="117"/>
      <c r="L81" s="117"/>
      <c r="M81" s="117"/>
      <c r="N81" s="120">
        <f>SUM(I81:M81)</f>
        <v>0</v>
      </c>
      <c r="O81" s="117"/>
      <c r="P81" s="117"/>
      <c r="Q81" s="117"/>
      <c r="R81" s="117"/>
      <c r="S81" s="117"/>
      <c r="T81" s="305"/>
      <c r="U81" s="120">
        <f>SUM(O81:T81)</f>
        <v>0</v>
      </c>
      <c r="V81" s="117"/>
      <c r="W81" s="117"/>
      <c r="X81" s="117"/>
      <c r="Y81" s="120">
        <f>SUM(V81:X81)</f>
        <v>0</v>
      </c>
      <c r="Z81" s="117"/>
      <c r="AA81" s="117">
        <f>bev!$D$330</f>
        <v>0</v>
      </c>
      <c r="AB81" s="117"/>
      <c r="AC81" s="120">
        <f>SUM(Z81:AB81)</f>
        <v>0</v>
      </c>
      <c r="AD81" s="131">
        <f t="shared" si="17"/>
        <v>0</v>
      </c>
    </row>
    <row r="82" spans="1:30" ht="12">
      <c r="A82" s="115" t="s">
        <v>1035</v>
      </c>
      <c r="B82" s="117"/>
      <c r="C82" s="117"/>
      <c r="D82" s="117"/>
      <c r="E82" s="120">
        <f>SUM(B82:D82)</f>
        <v>0</v>
      </c>
      <c r="F82" s="117"/>
      <c r="G82" s="117"/>
      <c r="H82" s="120">
        <f>SUM(F82:G82)</f>
        <v>0</v>
      </c>
      <c r="I82" s="117"/>
      <c r="J82" s="117"/>
      <c r="K82" s="117"/>
      <c r="L82" s="117"/>
      <c r="M82" s="117"/>
      <c r="N82" s="120">
        <f>SUM(I82:M82)</f>
        <v>0</v>
      </c>
      <c r="O82" s="117"/>
      <c r="P82" s="117"/>
      <c r="Q82" s="117"/>
      <c r="R82" s="117"/>
      <c r="S82" s="117"/>
      <c r="T82" s="305"/>
      <c r="U82" s="120">
        <f>SUM(O82:T82)</f>
        <v>0</v>
      </c>
      <c r="V82" s="117"/>
      <c r="W82" s="117"/>
      <c r="X82" s="117"/>
      <c r="Y82" s="120">
        <f>SUM(V82:X82)</f>
        <v>0</v>
      </c>
      <c r="Z82" s="117"/>
      <c r="AA82" s="117">
        <f>bev!$D$331</f>
        <v>0</v>
      </c>
      <c r="AB82" s="117"/>
      <c r="AC82" s="120">
        <f>SUM(Z82:AB82)</f>
        <v>0</v>
      </c>
      <c r="AD82" s="131">
        <f t="shared" si="17"/>
        <v>0</v>
      </c>
    </row>
    <row r="83" spans="1:30" ht="12">
      <c r="A83" s="123" t="s">
        <v>1036</v>
      </c>
      <c r="B83" s="124">
        <f aca="true" t="shared" si="32" ref="B83:AC83">SUM(B74:B76)+B80+B81+B82</f>
        <v>0</v>
      </c>
      <c r="C83" s="124"/>
      <c r="D83" s="124">
        <f t="shared" si="32"/>
        <v>0</v>
      </c>
      <c r="E83" s="124">
        <f t="shared" si="32"/>
        <v>0</v>
      </c>
      <c r="F83" s="124">
        <f t="shared" si="32"/>
        <v>0</v>
      </c>
      <c r="G83" s="124">
        <f t="shared" si="32"/>
        <v>0</v>
      </c>
      <c r="H83" s="124">
        <f t="shared" si="32"/>
        <v>0</v>
      </c>
      <c r="I83" s="124">
        <f t="shared" si="32"/>
        <v>0</v>
      </c>
      <c r="J83" s="124">
        <f t="shared" si="32"/>
        <v>0</v>
      </c>
      <c r="K83" s="124">
        <f t="shared" si="32"/>
        <v>0</v>
      </c>
      <c r="L83" s="124">
        <f t="shared" si="32"/>
        <v>0</v>
      </c>
      <c r="M83" s="124">
        <f t="shared" si="32"/>
        <v>0</v>
      </c>
      <c r="N83" s="124">
        <f t="shared" si="32"/>
        <v>0</v>
      </c>
      <c r="O83" s="124">
        <f t="shared" si="32"/>
        <v>0</v>
      </c>
      <c r="P83" s="124">
        <f t="shared" si="32"/>
        <v>0</v>
      </c>
      <c r="Q83" s="124">
        <f t="shared" si="32"/>
        <v>0</v>
      </c>
      <c r="R83" s="124">
        <f t="shared" si="32"/>
        <v>0</v>
      </c>
      <c r="S83" s="124">
        <f t="shared" si="32"/>
        <v>0</v>
      </c>
      <c r="T83" s="338">
        <f t="shared" si="32"/>
        <v>0</v>
      </c>
      <c r="U83" s="124">
        <f t="shared" si="32"/>
        <v>0</v>
      </c>
      <c r="V83" s="124">
        <f t="shared" si="32"/>
        <v>0</v>
      </c>
      <c r="W83" s="124">
        <f t="shared" si="32"/>
        <v>0</v>
      </c>
      <c r="X83" s="124">
        <f t="shared" si="32"/>
        <v>0</v>
      </c>
      <c r="Y83" s="124">
        <f t="shared" si="32"/>
        <v>0</v>
      </c>
      <c r="Z83" s="124">
        <f t="shared" si="32"/>
        <v>0</v>
      </c>
      <c r="AA83" s="124">
        <f>SUM(AA74:AA76)+AA80+AA81+AA82</f>
        <v>52089</v>
      </c>
      <c r="AB83" s="124">
        <f t="shared" si="32"/>
        <v>0</v>
      </c>
      <c r="AC83" s="124">
        <f t="shared" si="32"/>
        <v>52089</v>
      </c>
      <c r="AD83" s="124">
        <f>SUM(AD74:AD76)+AD80+AD81+AD82</f>
        <v>52089</v>
      </c>
    </row>
    <row r="84" spans="1:30" ht="12">
      <c r="A84" s="115" t="s">
        <v>1037</v>
      </c>
      <c r="B84" s="117">
        <v>0</v>
      </c>
      <c r="C84" s="117"/>
      <c r="D84" s="117"/>
      <c r="E84" s="120">
        <f>SUM(B84:D84)</f>
        <v>0</v>
      </c>
      <c r="F84" s="117"/>
      <c r="G84" s="117"/>
      <c r="H84" s="120">
        <f>SUM(F84:G84)</f>
        <v>0</v>
      </c>
      <c r="I84" s="117"/>
      <c r="J84" s="117"/>
      <c r="K84" s="117"/>
      <c r="L84" s="117"/>
      <c r="M84" s="117"/>
      <c r="N84" s="120">
        <f>SUM(I84:M84)</f>
        <v>0</v>
      </c>
      <c r="O84" s="117"/>
      <c r="P84" s="117"/>
      <c r="Q84" s="117"/>
      <c r="R84" s="117"/>
      <c r="S84" s="117"/>
      <c r="T84" s="305"/>
      <c r="U84" s="120">
        <f>SUM(O84:T84)</f>
        <v>0</v>
      </c>
      <c r="V84" s="117"/>
      <c r="W84" s="117"/>
      <c r="X84" s="117"/>
      <c r="Y84" s="120">
        <f>SUM(V84:X84)</f>
        <v>0</v>
      </c>
      <c r="Z84" s="117"/>
      <c r="AA84" s="117"/>
      <c r="AB84" s="117"/>
      <c r="AC84" s="120">
        <f>SUM(Z84:AB84)</f>
        <v>0</v>
      </c>
      <c r="AD84" s="131">
        <f t="shared" si="17"/>
        <v>0</v>
      </c>
    </row>
    <row r="85" spans="1:30" ht="12">
      <c r="A85" s="115" t="s">
        <v>1038</v>
      </c>
      <c r="B85" s="117"/>
      <c r="C85" s="117"/>
      <c r="D85" s="117"/>
      <c r="E85" s="120">
        <f>SUM(B85:D85)</f>
        <v>0</v>
      </c>
      <c r="F85" s="117"/>
      <c r="G85" s="117"/>
      <c r="H85" s="120">
        <f>SUM(F85:G85)</f>
        <v>0</v>
      </c>
      <c r="I85" s="117"/>
      <c r="J85" s="117"/>
      <c r="K85" s="117"/>
      <c r="L85" s="117"/>
      <c r="M85" s="117"/>
      <c r="N85" s="120">
        <f>SUM(I85:M85)</f>
        <v>0</v>
      </c>
      <c r="O85" s="117"/>
      <c r="P85" s="117"/>
      <c r="Q85" s="117"/>
      <c r="R85" s="117"/>
      <c r="S85" s="117"/>
      <c r="T85" s="305"/>
      <c r="U85" s="120">
        <f>SUM(O85:T85)</f>
        <v>0</v>
      </c>
      <c r="V85" s="117"/>
      <c r="W85" s="117"/>
      <c r="X85" s="117"/>
      <c r="Y85" s="120">
        <f>SUM(V85:X85)</f>
        <v>0</v>
      </c>
      <c r="Z85" s="117"/>
      <c r="AA85" s="117"/>
      <c r="AB85" s="117"/>
      <c r="AC85" s="120">
        <f>SUM(Z85:AB85)</f>
        <v>0</v>
      </c>
      <c r="AD85" s="131">
        <f t="shared" si="17"/>
        <v>0</v>
      </c>
    </row>
    <row r="86" spans="1:30" ht="12">
      <c r="A86" s="116" t="s">
        <v>1039</v>
      </c>
      <c r="B86" s="118">
        <f aca="true" t="shared" si="33" ref="B86:AD86">SUM(B84:B85)</f>
        <v>0</v>
      </c>
      <c r="C86" s="118"/>
      <c r="D86" s="118">
        <f t="shared" si="33"/>
        <v>0</v>
      </c>
      <c r="E86" s="118">
        <f t="shared" si="33"/>
        <v>0</v>
      </c>
      <c r="F86" s="118">
        <f t="shared" si="33"/>
        <v>0</v>
      </c>
      <c r="G86" s="118">
        <f t="shared" si="33"/>
        <v>0</v>
      </c>
      <c r="H86" s="118">
        <f t="shared" si="33"/>
        <v>0</v>
      </c>
      <c r="I86" s="118">
        <f t="shared" si="33"/>
        <v>0</v>
      </c>
      <c r="J86" s="118">
        <f t="shared" si="33"/>
        <v>0</v>
      </c>
      <c r="K86" s="118">
        <f t="shared" si="33"/>
        <v>0</v>
      </c>
      <c r="L86" s="118">
        <f t="shared" si="33"/>
        <v>0</v>
      </c>
      <c r="M86" s="118">
        <f t="shared" si="33"/>
        <v>0</v>
      </c>
      <c r="N86" s="118">
        <f t="shared" si="33"/>
        <v>0</v>
      </c>
      <c r="O86" s="118">
        <f t="shared" si="33"/>
        <v>0</v>
      </c>
      <c r="P86" s="118">
        <f t="shared" si="33"/>
        <v>0</v>
      </c>
      <c r="Q86" s="118">
        <f t="shared" si="33"/>
        <v>0</v>
      </c>
      <c r="R86" s="118">
        <f t="shared" si="33"/>
        <v>0</v>
      </c>
      <c r="S86" s="118">
        <f t="shared" si="33"/>
        <v>0</v>
      </c>
      <c r="T86" s="308">
        <f t="shared" si="33"/>
        <v>0</v>
      </c>
      <c r="U86" s="118">
        <f t="shared" si="33"/>
        <v>0</v>
      </c>
      <c r="V86" s="118">
        <f t="shared" si="33"/>
        <v>0</v>
      </c>
      <c r="W86" s="118">
        <f t="shared" si="33"/>
        <v>0</v>
      </c>
      <c r="X86" s="118">
        <f t="shared" si="33"/>
        <v>0</v>
      </c>
      <c r="Y86" s="118">
        <f t="shared" si="33"/>
        <v>0</v>
      </c>
      <c r="Z86" s="118">
        <f t="shared" si="33"/>
        <v>0</v>
      </c>
      <c r="AA86" s="118">
        <f t="shared" si="33"/>
        <v>0</v>
      </c>
      <c r="AB86" s="118">
        <f t="shared" si="33"/>
        <v>0</v>
      </c>
      <c r="AC86" s="118">
        <f t="shared" si="33"/>
        <v>0</v>
      </c>
      <c r="AD86" s="118">
        <f t="shared" si="33"/>
        <v>0</v>
      </c>
    </row>
    <row r="87" spans="1:30" ht="12">
      <c r="A87" s="115" t="s">
        <v>1040</v>
      </c>
      <c r="B87" s="117">
        <v>0</v>
      </c>
      <c r="C87" s="117">
        <v>19763</v>
      </c>
      <c r="D87" s="117"/>
      <c r="E87" s="120">
        <f>SUM(B87:D87)</f>
        <v>19763</v>
      </c>
      <c r="F87" s="117"/>
      <c r="G87" s="117"/>
      <c r="H87" s="120">
        <f>SUM(F87:G87)</f>
        <v>0</v>
      </c>
      <c r="I87" s="117"/>
      <c r="J87" s="117"/>
      <c r="K87" s="117"/>
      <c r="L87" s="117"/>
      <c r="M87" s="117"/>
      <c r="N87" s="120">
        <f>SUM(I87:M87)</f>
        <v>0</v>
      </c>
      <c r="O87" s="117"/>
      <c r="P87" s="117"/>
      <c r="Q87" s="117"/>
      <c r="R87" s="117"/>
      <c r="S87" s="117"/>
      <c r="T87" s="305"/>
      <c r="U87" s="120">
        <f>SUM(O87:T87)</f>
        <v>0</v>
      </c>
      <c r="V87" s="117"/>
      <c r="W87" s="117"/>
      <c r="X87" s="117"/>
      <c r="Y87" s="120">
        <f>SUM(V87:X87)</f>
        <v>0</v>
      </c>
      <c r="Z87" s="117"/>
      <c r="AA87" s="117"/>
      <c r="AB87" s="117"/>
      <c r="AC87" s="120">
        <f>SUM(Z87:AB87)</f>
        <v>0</v>
      </c>
      <c r="AD87" s="131">
        <f t="shared" si="17"/>
        <v>19763</v>
      </c>
    </row>
    <row r="88" spans="1:30" ht="12">
      <c r="A88" s="115" t="s">
        <v>1041</v>
      </c>
      <c r="B88" s="117"/>
      <c r="C88" s="117"/>
      <c r="D88" s="117">
        <f>bev!$D$39</f>
        <v>0</v>
      </c>
      <c r="E88" s="120">
        <f>SUM(B88:D88)</f>
        <v>0</v>
      </c>
      <c r="F88" s="117"/>
      <c r="G88" s="117"/>
      <c r="H88" s="120">
        <f>SUM(F88:G88)</f>
        <v>0</v>
      </c>
      <c r="I88" s="117"/>
      <c r="J88" s="117"/>
      <c r="K88" s="117"/>
      <c r="L88" s="117"/>
      <c r="M88" s="117"/>
      <c r="N88" s="120">
        <f>SUM(I88:M88)</f>
        <v>0</v>
      </c>
      <c r="O88" s="117"/>
      <c r="P88" s="117"/>
      <c r="Q88" s="117"/>
      <c r="R88" s="117"/>
      <c r="S88" s="117"/>
      <c r="T88" s="305"/>
      <c r="U88" s="120">
        <f>SUM(O88:T88)</f>
        <v>0</v>
      </c>
      <c r="V88" s="117"/>
      <c r="W88" s="117"/>
      <c r="X88" s="117"/>
      <c r="Y88" s="120">
        <f>SUM(V88:X88)</f>
        <v>0</v>
      </c>
      <c r="Z88" s="117"/>
      <c r="AA88" s="117"/>
      <c r="AB88" s="117"/>
      <c r="AC88" s="120">
        <f>SUM(Z88:AB88)</f>
        <v>0</v>
      </c>
      <c r="AD88" s="131">
        <f t="shared" si="17"/>
        <v>0</v>
      </c>
    </row>
    <row r="89" spans="1:30" ht="12">
      <c r="A89" s="116" t="s">
        <v>1042</v>
      </c>
      <c r="B89" s="118">
        <f aca="true" t="shared" si="34" ref="B89:AD89">SUM(B87:B88)</f>
        <v>0</v>
      </c>
      <c r="C89" s="118">
        <f t="shared" si="34"/>
        <v>19763</v>
      </c>
      <c r="D89" s="118">
        <f t="shared" si="34"/>
        <v>0</v>
      </c>
      <c r="E89" s="118">
        <f t="shared" si="34"/>
        <v>19763</v>
      </c>
      <c r="F89" s="118">
        <f t="shared" si="34"/>
        <v>0</v>
      </c>
      <c r="G89" s="118">
        <f t="shared" si="34"/>
        <v>0</v>
      </c>
      <c r="H89" s="118">
        <f t="shared" si="34"/>
        <v>0</v>
      </c>
      <c r="I89" s="118">
        <f t="shared" si="34"/>
        <v>0</v>
      </c>
      <c r="J89" s="118">
        <f t="shared" si="34"/>
        <v>0</v>
      </c>
      <c r="K89" s="118">
        <f t="shared" si="34"/>
        <v>0</v>
      </c>
      <c r="L89" s="118">
        <f t="shared" si="34"/>
        <v>0</v>
      </c>
      <c r="M89" s="118">
        <f t="shared" si="34"/>
        <v>0</v>
      </c>
      <c r="N89" s="118">
        <f t="shared" si="34"/>
        <v>0</v>
      </c>
      <c r="O89" s="118">
        <f t="shared" si="34"/>
        <v>0</v>
      </c>
      <c r="P89" s="118">
        <f t="shared" si="34"/>
        <v>0</v>
      </c>
      <c r="Q89" s="118">
        <f t="shared" si="34"/>
        <v>0</v>
      </c>
      <c r="R89" s="118">
        <f t="shared" si="34"/>
        <v>0</v>
      </c>
      <c r="S89" s="118">
        <f t="shared" si="34"/>
        <v>0</v>
      </c>
      <c r="T89" s="308">
        <f t="shared" si="34"/>
        <v>0</v>
      </c>
      <c r="U89" s="118">
        <f t="shared" si="34"/>
        <v>0</v>
      </c>
      <c r="V89" s="118">
        <f t="shared" si="34"/>
        <v>0</v>
      </c>
      <c r="W89" s="118">
        <f t="shared" si="34"/>
        <v>0</v>
      </c>
      <c r="X89" s="118">
        <f t="shared" si="34"/>
        <v>0</v>
      </c>
      <c r="Y89" s="118">
        <f t="shared" si="34"/>
        <v>0</v>
      </c>
      <c r="Z89" s="118">
        <f t="shared" si="34"/>
        <v>0</v>
      </c>
      <c r="AA89" s="118">
        <f t="shared" si="34"/>
        <v>0</v>
      </c>
      <c r="AB89" s="118">
        <f t="shared" si="34"/>
        <v>0</v>
      </c>
      <c r="AC89" s="118">
        <f t="shared" si="34"/>
        <v>0</v>
      </c>
      <c r="AD89" s="118">
        <f t="shared" si="34"/>
        <v>19763</v>
      </c>
    </row>
    <row r="90" spans="1:30" ht="12">
      <c r="A90" s="125" t="s">
        <v>242</v>
      </c>
      <c r="B90" s="126">
        <f aca="true" t="shared" si="35" ref="B90:AD90">B31+B41+B45+B49+B55+B56+B73+B83+B86+B89</f>
        <v>5607</v>
      </c>
      <c r="C90" s="126">
        <f t="shared" si="35"/>
        <v>19763</v>
      </c>
      <c r="D90" s="126">
        <f t="shared" si="35"/>
        <v>2876</v>
      </c>
      <c r="E90" s="126">
        <f t="shared" si="35"/>
        <v>28246</v>
      </c>
      <c r="F90" s="126">
        <f t="shared" si="35"/>
        <v>0</v>
      </c>
      <c r="G90" s="126">
        <f t="shared" si="35"/>
        <v>0</v>
      </c>
      <c r="H90" s="126">
        <f t="shared" si="35"/>
        <v>0</v>
      </c>
      <c r="I90" s="126">
        <f t="shared" si="35"/>
        <v>0</v>
      </c>
      <c r="J90" s="126">
        <f t="shared" si="35"/>
        <v>270</v>
      </c>
      <c r="K90" s="126">
        <f t="shared" si="35"/>
        <v>5</v>
      </c>
      <c r="L90" s="126">
        <f t="shared" si="35"/>
        <v>0</v>
      </c>
      <c r="M90" s="126">
        <f t="shared" si="35"/>
        <v>0</v>
      </c>
      <c r="N90" s="126">
        <f t="shared" si="35"/>
        <v>275</v>
      </c>
      <c r="O90" s="126">
        <f t="shared" si="35"/>
        <v>255</v>
      </c>
      <c r="P90" s="126">
        <f t="shared" si="35"/>
        <v>0</v>
      </c>
      <c r="Q90" s="126">
        <f t="shared" si="35"/>
        <v>3490</v>
      </c>
      <c r="R90" s="126">
        <f t="shared" si="35"/>
        <v>0</v>
      </c>
      <c r="S90" s="126">
        <f t="shared" si="35"/>
        <v>0</v>
      </c>
      <c r="T90" s="306">
        <f t="shared" si="35"/>
        <v>171</v>
      </c>
      <c r="U90" s="126">
        <f t="shared" si="35"/>
        <v>3916</v>
      </c>
      <c r="V90" s="303">
        <f t="shared" si="35"/>
        <v>759</v>
      </c>
      <c r="W90" s="303">
        <f t="shared" si="35"/>
        <v>2862</v>
      </c>
      <c r="X90" s="126">
        <f t="shared" si="35"/>
        <v>4173</v>
      </c>
      <c r="Y90" s="126">
        <f t="shared" si="35"/>
        <v>7794</v>
      </c>
      <c r="Z90" s="126">
        <f t="shared" si="35"/>
        <v>0</v>
      </c>
      <c r="AA90" s="126">
        <f t="shared" si="35"/>
        <v>87831</v>
      </c>
      <c r="AB90" s="126">
        <f t="shared" si="35"/>
        <v>0</v>
      </c>
      <c r="AC90" s="126">
        <f t="shared" si="35"/>
        <v>87831</v>
      </c>
      <c r="AD90" s="126">
        <f t="shared" si="35"/>
        <v>128062</v>
      </c>
    </row>
    <row r="91" spans="1:30" s="9" customFormat="1" ht="12">
      <c r="A91" s="143" t="s">
        <v>1285</v>
      </c>
      <c r="B91" s="144">
        <f>B31+B49+B55+B56+B73+B83+B84+B87</f>
        <v>5607</v>
      </c>
      <c r="C91" s="144">
        <f>C31+C49+C55+C56+C73+C83+C84+C87</f>
        <v>19763</v>
      </c>
      <c r="D91" s="144">
        <f>D31+D49+D55+D56+D73+D83+D84+D87</f>
        <v>2876</v>
      </c>
      <c r="E91" s="144">
        <f>SUM(B91:D91)</f>
        <v>28246</v>
      </c>
      <c r="F91" s="144">
        <f>F31+F49+F55+F56+F73+F83+F84+F87</f>
        <v>0</v>
      </c>
      <c r="G91" s="144">
        <f>G31+G49+G55+G56+G73+G83+G84+G87</f>
        <v>0</v>
      </c>
      <c r="H91" s="144">
        <f>SUM(F91:G91)</f>
        <v>0</v>
      </c>
      <c r="I91" s="144">
        <f>I31+I49+I55+I56+I73+I83+I84+I87</f>
        <v>0</v>
      </c>
      <c r="J91" s="144">
        <f>J31+J49+J55+J56+J73+J83+J84+J87</f>
        <v>270</v>
      </c>
      <c r="K91" s="144">
        <f>K31+K49+K55+K56+K73+K83+K84+K87</f>
        <v>5</v>
      </c>
      <c r="L91" s="144">
        <f>L31+L49+L55+L56+L73+L83+L84+L87</f>
        <v>0</v>
      </c>
      <c r="M91" s="144">
        <f>M31+M49+M55+M56+M73+M83+M84+M87</f>
        <v>0</v>
      </c>
      <c r="N91" s="144">
        <f>SUM(I91:M91)</f>
        <v>275</v>
      </c>
      <c r="O91" s="144">
        <f aca="true" t="shared" si="36" ref="O91:T91">O31+O49+O55+O56+O73+O83+O84+O87</f>
        <v>255</v>
      </c>
      <c r="P91" s="144">
        <f t="shared" si="36"/>
        <v>0</v>
      </c>
      <c r="Q91" s="144">
        <f t="shared" si="36"/>
        <v>3490</v>
      </c>
      <c r="R91" s="144">
        <f t="shared" si="36"/>
        <v>0</v>
      </c>
      <c r="S91" s="144">
        <f t="shared" si="36"/>
        <v>0</v>
      </c>
      <c r="T91" s="339">
        <f t="shared" si="36"/>
        <v>171</v>
      </c>
      <c r="U91" s="144">
        <f>SUM(O91:T91)</f>
        <v>3916</v>
      </c>
      <c r="V91" s="144">
        <f>V31+V49+V55+V56+V73+V83+V84+V87</f>
        <v>759</v>
      </c>
      <c r="W91" s="144">
        <f>W31+W49+W55+W56+W73+W83+W84+W87</f>
        <v>2862</v>
      </c>
      <c r="X91" s="144">
        <f>X31+X49+X55+X56+X73+X83+X84+X87</f>
        <v>4173</v>
      </c>
      <c r="Y91" s="144">
        <f>SUM(V91:X91)</f>
        <v>7794</v>
      </c>
      <c r="Z91" s="144">
        <f>Z31+Z49+Z55+Z56+Z73+Z83+Z84+Z87</f>
        <v>0</v>
      </c>
      <c r="AA91" s="144">
        <f>AA31+AA49+AA55+AA56+AA73-AA81-AA82+AA83+AA84+AA87-(bev!$D$301)-AA57</f>
        <v>83761</v>
      </c>
      <c r="AB91" s="144">
        <f>AB31+AB49+AB55+AB56+AB73+AB83+AB84+AB87</f>
        <v>0</v>
      </c>
      <c r="AC91" s="144">
        <f>SUM(Z91:AB91)</f>
        <v>83761</v>
      </c>
      <c r="AD91" s="144">
        <f>E91+H91+N91+U91+Y91+AC91</f>
        <v>123992</v>
      </c>
    </row>
    <row r="92" spans="1:30" s="9" customFormat="1" ht="12">
      <c r="A92" s="143" t="s">
        <v>1109</v>
      </c>
      <c r="B92" s="144">
        <f>B41+B45+B85+B88</f>
        <v>0</v>
      </c>
      <c r="C92" s="144">
        <f>C41+C45+C85+C88</f>
        <v>0</v>
      </c>
      <c r="D92" s="144">
        <f>D41+D45+D85+D88</f>
        <v>0</v>
      </c>
      <c r="E92" s="144">
        <f>SUM(B92:D92)</f>
        <v>0</v>
      </c>
      <c r="F92" s="144">
        <f>F41+F45+F85+F88</f>
        <v>0</v>
      </c>
      <c r="G92" s="144">
        <f>G41+G45+G85+G88</f>
        <v>0</v>
      </c>
      <c r="H92" s="144">
        <f>SUM(F92:G92)</f>
        <v>0</v>
      </c>
      <c r="I92" s="144">
        <f>I41+I45+I85+I88</f>
        <v>0</v>
      </c>
      <c r="J92" s="144">
        <f>J41+J45+J85+J88</f>
        <v>0</v>
      </c>
      <c r="K92" s="144">
        <f>K41+K45+K85+K88</f>
        <v>0</v>
      </c>
      <c r="L92" s="144">
        <f>L41+L45+L85+L88</f>
        <v>0</v>
      </c>
      <c r="M92" s="144">
        <f>M41+M45+M85+M88</f>
        <v>0</v>
      </c>
      <c r="N92" s="144">
        <f>SUM(I92:M92)</f>
        <v>0</v>
      </c>
      <c r="O92" s="144">
        <f aca="true" t="shared" si="37" ref="O92:T92">O41+O45+O85+O88</f>
        <v>0</v>
      </c>
      <c r="P92" s="144">
        <f t="shared" si="37"/>
        <v>0</v>
      </c>
      <c r="Q92" s="144">
        <f t="shared" si="37"/>
        <v>0</v>
      </c>
      <c r="R92" s="144">
        <f t="shared" si="37"/>
        <v>0</v>
      </c>
      <c r="S92" s="144">
        <f t="shared" si="37"/>
        <v>0</v>
      </c>
      <c r="T92" s="339">
        <f t="shared" si="37"/>
        <v>0</v>
      </c>
      <c r="U92" s="144">
        <f>SUM(O92:T92)</f>
        <v>0</v>
      </c>
      <c r="V92" s="144">
        <f>V41+V45+V85+V88</f>
        <v>0</v>
      </c>
      <c r="W92" s="144">
        <f>W41+W45+W85+W88</f>
        <v>0</v>
      </c>
      <c r="X92" s="144">
        <f>X41+X45+X85+X88</f>
        <v>0</v>
      </c>
      <c r="Y92" s="144">
        <f>SUM(V92:X92)</f>
        <v>0</v>
      </c>
      <c r="Z92" s="144">
        <f>Z41+Z45+Z85+Z88</f>
        <v>0</v>
      </c>
      <c r="AA92" s="144">
        <f>AA41+AA45+AA81+AA82+AA85+AA88+(bev!$D$301)+AA57</f>
        <v>4070</v>
      </c>
      <c r="AB92" s="144">
        <f>AB41+AB45+AB85+AB88</f>
        <v>0</v>
      </c>
      <c r="AC92" s="144">
        <f>SUM(Z92:AB92)</f>
        <v>4070</v>
      </c>
      <c r="AD92" s="144">
        <f>E92+H92+N92+U92+Y92+AC92</f>
        <v>4070</v>
      </c>
    </row>
    <row r="93" spans="1:30" s="9" customFormat="1" ht="12">
      <c r="A93" s="143" t="s">
        <v>242</v>
      </c>
      <c r="B93" s="144">
        <f>SUM(B91:B92)</f>
        <v>5607</v>
      </c>
      <c r="C93" s="144">
        <f>SUM(C91:C92)</f>
        <v>19763</v>
      </c>
      <c r="D93" s="144">
        <f>SUM(D91:D92)</f>
        <v>2876</v>
      </c>
      <c r="E93" s="144">
        <f>SUM(B93:D93)</f>
        <v>28246</v>
      </c>
      <c r="F93" s="144">
        <f>SUM(F91:F92)</f>
        <v>0</v>
      </c>
      <c r="G93" s="144">
        <f>SUM(G91:G92)</f>
        <v>0</v>
      </c>
      <c r="H93" s="144">
        <f>SUM(F93:G93)</f>
        <v>0</v>
      </c>
      <c r="I93" s="144">
        <f>SUM(I91:I92)</f>
        <v>0</v>
      </c>
      <c r="J93" s="144">
        <f>SUM(J91:J92)</f>
        <v>270</v>
      </c>
      <c r="K93" s="144">
        <f>SUM(K91:K92)</f>
        <v>5</v>
      </c>
      <c r="L93" s="144">
        <f>SUM(L91:L92)</f>
        <v>0</v>
      </c>
      <c r="M93" s="144">
        <f>SUM(M91:M92)</f>
        <v>0</v>
      </c>
      <c r="N93" s="144">
        <f>SUM(I93:M93)</f>
        <v>275</v>
      </c>
      <c r="O93" s="144">
        <f aca="true" t="shared" si="38" ref="O93:T93">SUM(O91:O92)</f>
        <v>255</v>
      </c>
      <c r="P93" s="144">
        <f t="shared" si="38"/>
        <v>0</v>
      </c>
      <c r="Q93" s="144">
        <f t="shared" si="38"/>
        <v>3490</v>
      </c>
      <c r="R93" s="144">
        <f t="shared" si="38"/>
        <v>0</v>
      </c>
      <c r="S93" s="144">
        <f t="shared" si="38"/>
        <v>0</v>
      </c>
      <c r="T93" s="144">
        <f t="shared" si="38"/>
        <v>171</v>
      </c>
      <c r="U93" s="144">
        <f>SUM(O93:T93)</f>
        <v>3916</v>
      </c>
      <c r="V93" s="144">
        <f>SUM(V91:V92)</f>
        <v>759</v>
      </c>
      <c r="W93" s="144">
        <f>SUM(W91:W92)</f>
        <v>2862</v>
      </c>
      <c r="X93" s="144">
        <f>SUM(X91:X92)</f>
        <v>4173</v>
      </c>
      <c r="Y93" s="144">
        <f>SUM(V93:X93)</f>
        <v>7794</v>
      </c>
      <c r="Z93" s="144">
        <f>SUM(Z91:Z92)</f>
        <v>0</v>
      </c>
      <c r="AA93" s="144">
        <f>SUM(AA91:AA92)</f>
        <v>87831</v>
      </c>
      <c r="AB93" s="144">
        <f>SUM(AB91:AB92)</f>
        <v>0</v>
      </c>
      <c r="AC93" s="144">
        <f>SUM(Z93:AB93)</f>
        <v>87831</v>
      </c>
      <c r="AD93" s="144">
        <f>E93+H93+N93+U93+Y93+AC93</f>
        <v>128062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4411"/>
  <sheetViews>
    <sheetView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63" sqref="W163"/>
    </sheetView>
  </sheetViews>
  <sheetFormatPr defaultColWidth="9.00390625" defaultRowHeight="12.75"/>
  <cols>
    <col min="1" max="1" width="53.875" style="37" bestFit="1" customWidth="1"/>
    <col min="2" max="2" width="9.375" style="304" bestFit="1" customWidth="1"/>
    <col min="3" max="4" width="9.125" style="55" customWidth="1"/>
    <col min="5" max="5" width="12.25390625" style="55" customWidth="1"/>
    <col min="6" max="6" width="10.625" style="55" customWidth="1"/>
    <col min="7" max="7" width="10.00390625" style="55" customWidth="1"/>
    <col min="8" max="9" width="9.125" style="55" customWidth="1"/>
    <col min="10" max="10" width="9.375" style="55" bestFit="1" customWidth="1"/>
    <col min="11" max="20" width="9.125" style="55" customWidth="1"/>
    <col min="21" max="21" width="9.375" style="55" bestFit="1" customWidth="1"/>
    <col min="22" max="22" width="9.125" style="55" customWidth="1"/>
    <col min="23" max="23" width="10.375" style="55" bestFit="1" customWidth="1"/>
    <col min="24" max="24" width="10.375" style="55" customWidth="1"/>
    <col min="25" max="25" width="10.375" style="55" bestFit="1" customWidth="1"/>
    <col min="26" max="26" width="9.125" style="55" customWidth="1"/>
    <col min="27" max="27" width="10.375" style="55" bestFit="1" customWidth="1"/>
    <col min="28" max="32" width="9.125" style="55" customWidth="1"/>
    <col min="33" max="33" width="9.375" style="55" bestFit="1" customWidth="1"/>
    <col min="34" max="35" width="9.125" style="55" customWidth="1"/>
    <col min="36" max="36" width="10.375" style="55" bestFit="1" customWidth="1"/>
    <col min="37" max="37" width="9.125" style="55" customWidth="1"/>
    <col min="38" max="16384" width="9.125" style="37" customWidth="1"/>
  </cols>
  <sheetData>
    <row r="1" spans="1:36" ht="63" customHeight="1">
      <c r="A1" s="115" t="s">
        <v>908</v>
      </c>
      <c r="B1" s="117" t="s">
        <v>1057</v>
      </c>
      <c r="C1" s="117" t="s">
        <v>1</v>
      </c>
      <c r="D1" s="315" t="s">
        <v>570</v>
      </c>
      <c r="E1" s="119" t="s">
        <v>1043</v>
      </c>
      <c r="F1" s="315" t="s">
        <v>494</v>
      </c>
      <c r="G1" s="315" t="s">
        <v>495</v>
      </c>
      <c r="H1" s="119" t="s">
        <v>496</v>
      </c>
      <c r="I1" s="117" t="s">
        <v>126</v>
      </c>
      <c r="J1" s="305" t="s">
        <v>127</v>
      </c>
      <c r="K1" s="305" t="s">
        <v>128</v>
      </c>
      <c r="L1" s="305" t="s">
        <v>129</v>
      </c>
      <c r="M1" s="305" t="s">
        <v>130</v>
      </c>
      <c r="N1" s="305" t="s">
        <v>291</v>
      </c>
      <c r="O1" s="119" t="s">
        <v>483</v>
      </c>
      <c r="P1" s="330" t="s">
        <v>131</v>
      </c>
      <c r="Q1" s="334" t="s">
        <v>1044</v>
      </c>
      <c r="R1" s="334" t="s">
        <v>133</v>
      </c>
      <c r="S1" s="305" t="s">
        <v>1160</v>
      </c>
      <c r="T1" s="305" t="s">
        <v>24</v>
      </c>
      <c r="U1" s="305" t="s">
        <v>28</v>
      </c>
      <c r="V1" s="305" t="s">
        <v>934</v>
      </c>
      <c r="W1" s="305">
        <v>853322</v>
      </c>
      <c r="X1" s="305">
        <v>853288</v>
      </c>
      <c r="Y1" s="305">
        <v>851967</v>
      </c>
      <c r="Z1" s="119" t="s">
        <v>1216</v>
      </c>
      <c r="AA1" s="305">
        <v>624</v>
      </c>
      <c r="AB1" s="305" t="s">
        <v>135</v>
      </c>
      <c r="AC1" s="305" t="s">
        <v>136</v>
      </c>
      <c r="AD1" s="305" t="s">
        <v>137</v>
      </c>
      <c r="AE1" s="337" t="s">
        <v>905</v>
      </c>
      <c r="AF1" s="119" t="s">
        <v>1217</v>
      </c>
      <c r="AG1" s="117" t="s">
        <v>138</v>
      </c>
      <c r="AH1" s="305" t="s">
        <v>140</v>
      </c>
      <c r="AI1" s="119" t="s">
        <v>1218</v>
      </c>
      <c r="AJ1" s="130" t="s">
        <v>244</v>
      </c>
    </row>
    <row r="2" spans="1:36" ht="12">
      <c r="A2" s="115" t="s">
        <v>245</v>
      </c>
      <c r="B2" s="305">
        <f>hiv!D59</f>
        <v>3855</v>
      </c>
      <c r="C2" s="117"/>
      <c r="D2" s="305">
        <f>körj!D18</f>
        <v>1732</v>
      </c>
      <c r="E2" s="120">
        <f aca="true" t="shared" si="0" ref="E2:E7">SUM(B2:D2)</f>
        <v>5587</v>
      </c>
      <c r="F2" s="305">
        <f>isk!D16</f>
        <v>1137</v>
      </c>
      <c r="G2" s="305"/>
      <c r="H2" s="120">
        <f aca="true" t="shared" si="1" ref="H2:H7">SUM(F2:G2)</f>
        <v>1137</v>
      </c>
      <c r="I2" s="117">
        <v>0</v>
      </c>
      <c r="J2" s="305">
        <f>teü!$D$32</f>
        <v>1008</v>
      </c>
      <c r="K2" s="305"/>
      <c r="L2" s="305"/>
      <c r="M2" s="305"/>
      <c r="N2" s="305"/>
      <c r="O2" s="120">
        <f aca="true" t="shared" si="2" ref="O2:O7">SUM(I2:N2)</f>
        <v>1008</v>
      </c>
      <c r="P2" s="330">
        <v>54</v>
      </c>
      <c r="Q2" s="305"/>
      <c r="R2" s="305">
        <v>435</v>
      </c>
      <c r="S2" s="305"/>
      <c r="T2" s="305"/>
      <c r="U2" s="305"/>
      <c r="V2" s="305"/>
      <c r="W2" s="305"/>
      <c r="X2" s="305"/>
      <c r="Y2" s="305"/>
      <c r="Z2" s="120">
        <f aca="true" t="shared" si="3" ref="Z2:Z7">SUM(P2:Y2)</f>
        <v>489</v>
      </c>
      <c r="AA2" s="305">
        <f>iét!$D$68</f>
        <v>5859</v>
      </c>
      <c r="AB2" s="305">
        <f>AA2*iét!$D$226</f>
        <v>931.8919853283468</v>
      </c>
      <c r="AC2" s="305">
        <f>AA2*iét!$D$227</f>
        <v>2854.3260884497536</v>
      </c>
      <c r="AD2" s="305">
        <f>AA2*iét!$D$228</f>
        <v>800.5827495869748</v>
      </c>
      <c r="AE2" s="305">
        <f>AA2*iét!$D$229</f>
        <v>1272.1991766349245</v>
      </c>
      <c r="AF2" s="120">
        <f>SUM(AB2:AE2)</f>
        <v>5859</v>
      </c>
      <c r="AG2" s="117"/>
      <c r="AH2" s="305">
        <f>elsz!D39</f>
        <v>1744</v>
      </c>
      <c r="AI2" s="120">
        <f aca="true" t="shared" si="4" ref="AI2:AI7">SUM(AG2:AH2)</f>
        <v>1744</v>
      </c>
      <c r="AJ2" s="346">
        <f>E2+H2+O2+Z2+AF2+AI2</f>
        <v>15824</v>
      </c>
    </row>
    <row r="3" spans="1:36" ht="12">
      <c r="A3" s="115" t="s">
        <v>227</v>
      </c>
      <c r="B3" s="117"/>
      <c r="C3" s="117"/>
      <c r="D3" s="305"/>
      <c r="E3" s="120">
        <f t="shared" si="0"/>
        <v>0</v>
      </c>
      <c r="F3" s="305"/>
      <c r="G3" s="305"/>
      <c r="H3" s="120">
        <f t="shared" si="1"/>
        <v>0</v>
      </c>
      <c r="I3" s="117"/>
      <c r="J3" s="305"/>
      <c r="K3" s="305"/>
      <c r="L3" s="305"/>
      <c r="M3" s="305"/>
      <c r="N3" s="305"/>
      <c r="O3" s="120">
        <f t="shared" si="2"/>
        <v>0</v>
      </c>
      <c r="P3" s="330"/>
      <c r="Q3" s="305"/>
      <c r="R3" s="305"/>
      <c r="S3" s="305"/>
      <c r="T3" s="305"/>
      <c r="U3" s="305"/>
      <c r="V3" s="305"/>
      <c r="W3" s="305"/>
      <c r="X3" s="305"/>
      <c r="Y3" s="305"/>
      <c r="Z3" s="120">
        <f t="shared" si="3"/>
        <v>0</v>
      </c>
      <c r="AA3" s="305"/>
      <c r="AB3" s="305">
        <f>AA3*iét!$D$226</f>
        <v>0</v>
      </c>
      <c r="AC3" s="305">
        <f>AA3*iét!$D$227</f>
        <v>0</v>
      </c>
      <c r="AD3" s="305">
        <f>AA3*iét!$D$228</f>
        <v>0</v>
      </c>
      <c r="AE3" s="305">
        <f>AA3*iét!$D$229</f>
        <v>0</v>
      </c>
      <c r="AF3" s="120">
        <f aca="true" t="shared" si="5" ref="AF3:AF66">SUM(AB3:AE3)</f>
        <v>0</v>
      </c>
      <c r="AG3" s="117"/>
      <c r="AH3" s="305"/>
      <c r="AI3" s="120">
        <f t="shared" si="4"/>
        <v>0</v>
      </c>
      <c r="AJ3" s="131">
        <f aca="true" t="shared" si="6" ref="AJ3:AJ35">E3+H3+O3+Z3+AF3+AI3</f>
        <v>0</v>
      </c>
    </row>
    <row r="4" spans="1:36" ht="12">
      <c r="A4" s="115" t="s">
        <v>246</v>
      </c>
      <c r="B4" s="117"/>
      <c r="C4" s="117"/>
      <c r="D4" s="305"/>
      <c r="E4" s="120">
        <f t="shared" si="0"/>
        <v>0</v>
      </c>
      <c r="F4" s="305"/>
      <c r="G4" s="305"/>
      <c r="H4" s="120">
        <f t="shared" si="1"/>
        <v>0</v>
      </c>
      <c r="I4" s="117"/>
      <c r="J4" s="305"/>
      <c r="K4" s="305"/>
      <c r="L4" s="305"/>
      <c r="M4" s="305"/>
      <c r="N4" s="305"/>
      <c r="O4" s="120">
        <f t="shared" si="2"/>
        <v>0</v>
      </c>
      <c r="P4" s="330"/>
      <c r="Q4" s="305"/>
      <c r="R4" s="305"/>
      <c r="S4" s="305"/>
      <c r="T4" s="305"/>
      <c r="U4" s="305"/>
      <c r="V4" s="305"/>
      <c r="W4" s="305"/>
      <c r="X4" s="305"/>
      <c r="Y4" s="305"/>
      <c r="Z4" s="120">
        <f t="shared" si="3"/>
        <v>0</v>
      </c>
      <c r="AA4" s="305"/>
      <c r="AB4" s="305">
        <f>AA4*iét!$D$226</f>
        <v>0</v>
      </c>
      <c r="AC4" s="305">
        <f>AA4*iét!$D$227</f>
        <v>0</v>
      </c>
      <c r="AD4" s="305">
        <f>AA4*iét!$D$228</f>
        <v>0</v>
      </c>
      <c r="AE4" s="305">
        <f>AA4*iét!$D$229</f>
        <v>0</v>
      </c>
      <c r="AF4" s="120">
        <f t="shared" si="5"/>
        <v>0</v>
      </c>
      <c r="AG4" s="117"/>
      <c r="AH4" s="305"/>
      <c r="AI4" s="120">
        <f t="shared" si="4"/>
        <v>0</v>
      </c>
      <c r="AJ4" s="131">
        <f t="shared" si="6"/>
        <v>0</v>
      </c>
    </row>
    <row r="5" spans="1:36" ht="12">
      <c r="A5" s="115" t="s">
        <v>247</v>
      </c>
      <c r="B5" s="117"/>
      <c r="C5" s="117"/>
      <c r="D5" s="305">
        <f>körj!D24</f>
        <v>290</v>
      </c>
      <c r="E5" s="120">
        <f t="shared" si="0"/>
        <v>290</v>
      </c>
      <c r="F5" s="305"/>
      <c r="G5" s="305"/>
      <c r="H5" s="120">
        <f t="shared" si="1"/>
        <v>0</v>
      </c>
      <c r="I5" s="117"/>
      <c r="J5" s="305"/>
      <c r="K5" s="305"/>
      <c r="L5" s="305"/>
      <c r="M5" s="305"/>
      <c r="N5" s="305"/>
      <c r="O5" s="120">
        <f t="shared" si="2"/>
        <v>0</v>
      </c>
      <c r="P5" s="330"/>
      <c r="Q5" s="305"/>
      <c r="R5" s="305"/>
      <c r="S5" s="305"/>
      <c r="T5" s="305"/>
      <c r="U5" s="305"/>
      <c r="V5" s="305"/>
      <c r="W5" s="305"/>
      <c r="X5" s="305"/>
      <c r="Y5" s="305"/>
      <c r="Z5" s="120">
        <f t="shared" si="3"/>
        <v>0</v>
      </c>
      <c r="AA5" s="305"/>
      <c r="AB5" s="305">
        <f>AA5*iét!$D$226</f>
        <v>0</v>
      </c>
      <c r="AC5" s="305">
        <f>AA5*iét!$D$227</f>
        <v>0</v>
      </c>
      <c r="AD5" s="305">
        <f>AA5*iét!$D$228</f>
        <v>0</v>
      </c>
      <c r="AE5" s="305">
        <f>AA5*iét!$D$229</f>
        <v>0</v>
      </c>
      <c r="AF5" s="120">
        <f t="shared" si="5"/>
        <v>0</v>
      </c>
      <c r="AG5" s="117"/>
      <c r="AH5" s="305"/>
      <c r="AI5" s="120">
        <f t="shared" si="4"/>
        <v>0</v>
      </c>
      <c r="AJ5" s="346">
        <f t="shared" si="6"/>
        <v>290</v>
      </c>
    </row>
    <row r="6" spans="1:36" ht="12">
      <c r="A6" s="115" t="s">
        <v>1200</v>
      </c>
      <c r="B6" s="117"/>
      <c r="C6" s="117"/>
      <c r="D6" s="305"/>
      <c r="E6" s="120">
        <f t="shared" si="0"/>
        <v>0</v>
      </c>
      <c r="F6" s="305"/>
      <c r="G6" s="305"/>
      <c r="H6" s="120">
        <f t="shared" si="1"/>
        <v>0</v>
      </c>
      <c r="I6" s="117"/>
      <c r="J6" s="305"/>
      <c r="K6" s="305"/>
      <c r="L6" s="305"/>
      <c r="M6" s="305"/>
      <c r="N6" s="305"/>
      <c r="O6" s="120">
        <f t="shared" si="2"/>
        <v>0</v>
      </c>
      <c r="P6" s="330"/>
      <c r="Q6" s="305"/>
      <c r="R6" s="305"/>
      <c r="S6" s="305"/>
      <c r="T6" s="305"/>
      <c r="U6" s="305"/>
      <c r="V6" s="305"/>
      <c r="W6" s="305"/>
      <c r="X6" s="305"/>
      <c r="Y6" s="305"/>
      <c r="Z6" s="120">
        <f t="shared" si="3"/>
        <v>0</v>
      </c>
      <c r="AA6" s="305"/>
      <c r="AB6" s="305">
        <f>AA6*iét!$D$226</f>
        <v>0</v>
      </c>
      <c r="AC6" s="305">
        <f>AA6*iét!$D$227</f>
        <v>0</v>
      </c>
      <c r="AD6" s="305">
        <f>AA6*iét!$D$228</f>
        <v>0</v>
      </c>
      <c r="AE6" s="305">
        <f>AA6*iét!$D$229</f>
        <v>0</v>
      </c>
      <c r="AF6" s="120">
        <f t="shared" si="5"/>
        <v>0</v>
      </c>
      <c r="AG6" s="117"/>
      <c r="AH6" s="305"/>
      <c r="AI6" s="120">
        <f t="shared" si="4"/>
        <v>0</v>
      </c>
      <c r="AJ6" s="131">
        <f t="shared" si="6"/>
        <v>0</v>
      </c>
    </row>
    <row r="7" spans="1:36" ht="12">
      <c r="A7" s="115" t="s">
        <v>1201</v>
      </c>
      <c r="B7" s="117"/>
      <c r="C7" s="117"/>
      <c r="D7" s="305"/>
      <c r="E7" s="120">
        <f t="shared" si="0"/>
        <v>0</v>
      </c>
      <c r="F7" s="305"/>
      <c r="G7" s="305"/>
      <c r="H7" s="120">
        <f t="shared" si="1"/>
        <v>0</v>
      </c>
      <c r="I7" s="117"/>
      <c r="J7" s="305"/>
      <c r="K7" s="305"/>
      <c r="L7" s="305"/>
      <c r="M7" s="305"/>
      <c r="N7" s="305"/>
      <c r="O7" s="120">
        <f t="shared" si="2"/>
        <v>0</v>
      </c>
      <c r="P7" s="330">
        <v>17</v>
      </c>
      <c r="Q7" s="305"/>
      <c r="R7" s="305"/>
      <c r="S7" s="305"/>
      <c r="T7" s="305"/>
      <c r="U7" s="305"/>
      <c r="V7" s="305"/>
      <c r="W7" s="305"/>
      <c r="X7" s="305"/>
      <c r="Y7" s="305"/>
      <c r="Z7" s="120">
        <f t="shared" si="3"/>
        <v>17</v>
      </c>
      <c r="AA7" s="305"/>
      <c r="AB7" s="305">
        <f>AA7*iét!$D$226</f>
        <v>0</v>
      </c>
      <c r="AC7" s="305">
        <f>AA7*iét!$D$227</f>
        <v>0</v>
      </c>
      <c r="AD7" s="305">
        <f>AA7*iét!$D$228</f>
        <v>0</v>
      </c>
      <c r="AE7" s="305">
        <f>AA7*iét!$D$229</f>
        <v>0</v>
      </c>
      <c r="AF7" s="120">
        <f t="shared" si="5"/>
        <v>0</v>
      </c>
      <c r="AG7" s="117"/>
      <c r="AH7" s="305"/>
      <c r="AI7" s="120">
        <f t="shared" si="4"/>
        <v>0</v>
      </c>
      <c r="AJ7" s="346">
        <f t="shared" si="6"/>
        <v>17</v>
      </c>
    </row>
    <row r="8" spans="1:36" ht="12">
      <c r="A8" s="121" t="s">
        <v>1202</v>
      </c>
      <c r="B8" s="307">
        <f aca="true" t="shared" si="7" ref="B8:AJ8">SUM(B2:B7)</f>
        <v>3855</v>
      </c>
      <c r="C8" s="122"/>
      <c r="D8" s="307">
        <f t="shared" si="7"/>
        <v>2022</v>
      </c>
      <c r="E8" s="122">
        <f t="shared" si="7"/>
        <v>5877</v>
      </c>
      <c r="F8" s="307">
        <f t="shared" si="7"/>
        <v>1137</v>
      </c>
      <c r="G8" s="307">
        <f t="shared" si="7"/>
        <v>0</v>
      </c>
      <c r="H8" s="122">
        <f t="shared" si="7"/>
        <v>1137</v>
      </c>
      <c r="I8" s="122">
        <f t="shared" si="7"/>
        <v>0</v>
      </c>
      <c r="J8" s="307">
        <f t="shared" si="7"/>
        <v>1008</v>
      </c>
      <c r="K8" s="307">
        <f t="shared" si="7"/>
        <v>0</v>
      </c>
      <c r="L8" s="307">
        <f t="shared" si="7"/>
        <v>0</v>
      </c>
      <c r="M8" s="307">
        <f t="shared" si="7"/>
        <v>0</v>
      </c>
      <c r="N8" s="307">
        <f t="shared" si="7"/>
        <v>0</v>
      </c>
      <c r="O8" s="122">
        <f t="shared" si="7"/>
        <v>1008</v>
      </c>
      <c r="P8" s="331">
        <f t="shared" si="7"/>
        <v>71</v>
      </c>
      <c r="Q8" s="307">
        <f t="shared" si="7"/>
        <v>0</v>
      </c>
      <c r="R8" s="307">
        <f t="shared" si="7"/>
        <v>435</v>
      </c>
      <c r="S8" s="307">
        <f t="shared" si="7"/>
        <v>0</v>
      </c>
      <c r="T8" s="307">
        <f t="shared" si="7"/>
        <v>0</v>
      </c>
      <c r="U8" s="307">
        <f>SUM(U2:U7)</f>
        <v>0</v>
      </c>
      <c r="V8" s="307">
        <f>SUM(V2:V7)</f>
        <v>0</v>
      </c>
      <c r="W8" s="307"/>
      <c r="X8" s="307"/>
      <c r="Y8" s="307">
        <f>SUM(Y2:Y7)</f>
        <v>0</v>
      </c>
      <c r="Z8" s="122">
        <f t="shared" si="7"/>
        <v>506</v>
      </c>
      <c r="AA8" s="307">
        <f t="shared" si="7"/>
        <v>5859</v>
      </c>
      <c r="AB8" s="307">
        <f t="shared" si="7"/>
        <v>931.8919853283468</v>
      </c>
      <c r="AC8" s="307">
        <f t="shared" si="7"/>
        <v>2854.3260884497536</v>
      </c>
      <c r="AD8" s="307">
        <f t="shared" si="7"/>
        <v>800.5827495869748</v>
      </c>
      <c r="AE8" s="307">
        <f t="shared" si="7"/>
        <v>1272.1991766349245</v>
      </c>
      <c r="AF8" s="122">
        <f t="shared" si="7"/>
        <v>5859</v>
      </c>
      <c r="AG8" s="122">
        <f t="shared" si="7"/>
        <v>0</v>
      </c>
      <c r="AH8" s="307">
        <f t="shared" si="7"/>
        <v>1744</v>
      </c>
      <c r="AI8" s="122">
        <f t="shared" si="7"/>
        <v>1744</v>
      </c>
      <c r="AJ8" s="307">
        <f t="shared" si="7"/>
        <v>16131</v>
      </c>
    </row>
    <row r="9" spans="1:36" ht="12">
      <c r="A9" s="115" t="s">
        <v>1203</v>
      </c>
      <c r="B9" s="117"/>
      <c r="C9" s="117"/>
      <c r="D9" s="305"/>
      <c r="E9" s="120">
        <f>SUM(B9:D9)</f>
        <v>0</v>
      </c>
      <c r="F9" s="305"/>
      <c r="G9" s="305"/>
      <c r="H9" s="120">
        <f>SUM(F9:G9)</f>
        <v>0</v>
      </c>
      <c r="I9" s="117"/>
      <c r="J9" s="305"/>
      <c r="K9" s="305"/>
      <c r="L9" s="305"/>
      <c r="M9" s="305"/>
      <c r="N9" s="305"/>
      <c r="O9" s="120">
        <f>SUM(I9:N9)</f>
        <v>0</v>
      </c>
      <c r="P9" s="330">
        <v>2800</v>
      </c>
      <c r="Q9" s="305"/>
      <c r="R9" s="305"/>
      <c r="S9" s="305"/>
      <c r="T9" s="305"/>
      <c r="U9" s="305"/>
      <c r="V9" s="305"/>
      <c r="W9" s="305"/>
      <c r="X9" s="305"/>
      <c r="Y9" s="305"/>
      <c r="Z9" s="120">
        <f>SUM(P9:Y9)</f>
        <v>2800</v>
      </c>
      <c r="AA9" s="305"/>
      <c r="AB9" s="305">
        <f>AA9*iét!$D$226</f>
        <v>0</v>
      </c>
      <c r="AC9" s="305">
        <f>AA9*iét!$D$227</f>
        <v>0</v>
      </c>
      <c r="AD9" s="305">
        <f>AA9*iét!$D$228</f>
        <v>0</v>
      </c>
      <c r="AE9" s="305">
        <f>AA9*iét!$D$229</f>
        <v>0</v>
      </c>
      <c r="AF9" s="120">
        <f t="shared" si="5"/>
        <v>0</v>
      </c>
      <c r="AG9" s="117"/>
      <c r="AH9" s="305"/>
      <c r="AI9" s="120">
        <f>SUM(AG9:AH9)</f>
        <v>0</v>
      </c>
      <c r="AJ9" s="346">
        <f t="shared" si="6"/>
        <v>2800</v>
      </c>
    </row>
    <row r="10" spans="1:36" ht="12">
      <c r="A10" s="116" t="s">
        <v>258</v>
      </c>
      <c r="B10" s="308">
        <f aca="true" t="shared" si="8" ref="B10:AJ10">B8+B9</f>
        <v>3855</v>
      </c>
      <c r="C10" s="118"/>
      <c r="D10" s="308">
        <f t="shared" si="8"/>
        <v>2022</v>
      </c>
      <c r="E10" s="118">
        <f t="shared" si="8"/>
        <v>5877</v>
      </c>
      <c r="F10" s="308">
        <f t="shared" si="8"/>
        <v>1137</v>
      </c>
      <c r="G10" s="308">
        <f t="shared" si="8"/>
        <v>0</v>
      </c>
      <c r="H10" s="118">
        <f t="shared" si="8"/>
        <v>1137</v>
      </c>
      <c r="I10" s="118">
        <f t="shared" si="8"/>
        <v>0</v>
      </c>
      <c r="J10" s="308">
        <f t="shared" si="8"/>
        <v>1008</v>
      </c>
      <c r="K10" s="308">
        <f t="shared" si="8"/>
        <v>0</v>
      </c>
      <c r="L10" s="308">
        <f t="shared" si="8"/>
        <v>0</v>
      </c>
      <c r="M10" s="308">
        <f t="shared" si="8"/>
        <v>0</v>
      </c>
      <c r="N10" s="308">
        <f t="shared" si="8"/>
        <v>0</v>
      </c>
      <c r="O10" s="118">
        <f t="shared" si="8"/>
        <v>1008</v>
      </c>
      <c r="P10" s="332">
        <f t="shared" si="8"/>
        <v>2871</v>
      </c>
      <c r="Q10" s="308">
        <f t="shared" si="8"/>
        <v>0</v>
      </c>
      <c r="R10" s="308">
        <f t="shared" si="8"/>
        <v>435</v>
      </c>
      <c r="S10" s="308">
        <f t="shared" si="8"/>
        <v>0</v>
      </c>
      <c r="T10" s="308">
        <f t="shared" si="8"/>
        <v>0</v>
      </c>
      <c r="U10" s="308">
        <f>U8+U9</f>
        <v>0</v>
      </c>
      <c r="V10" s="308">
        <f>V8+V9</f>
        <v>0</v>
      </c>
      <c r="W10" s="308"/>
      <c r="X10" s="308"/>
      <c r="Y10" s="308">
        <f>Y8+Y9</f>
        <v>0</v>
      </c>
      <c r="Z10" s="118">
        <f t="shared" si="8"/>
        <v>3306</v>
      </c>
      <c r="AA10" s="308">
        <f t="shared" si="8"/>
        <v>5859</v>
      </c>
      <c r="AB10" s="308">
        <f t="shared" si="8"/>
        <v>931.8919853283468</v>
      </c>
      <c r="AC10" s="308">
        <f t="shared" si="8"/>
        <v>2854.3260884497536</v>
      </c>
      <c r="AD10" s="308">
        <f t="shared" si="8"/>
        <v>800.5827495869748</v>
      </c>
      <c r="AE10" s="308">
        <f t="shared" si="8"/>
        <v>1272.1991766349245</v>
      </c>
      <c r="AF10" s="118">
        <f t="shared" si="8"/>
        <v>5859</v>
      </c>
      <c r="AG10" s="118">
        <f t="shared" si="8"/>
        <v>0</v>
      </c>
      <c r="AH10" s="308">
        <f t="shared" si="8"/>
        <v>1744</v>
      </c>
      <c r="AI10" s="118">
        <f t="shared" si="8"/>
        <v>1744</v>
      </c>
      <c r="AJ10" s="308">
        <f t="shared" si="8"/>
        <v>18931</v>
      </c>
    </row>
    <row r="11" spans="1:36" ht="12">
      <c r="A11" s="115" t="s">
        <v>1204</v>
      </c>
      <c r="B11" s="305">
        <f>hiv!D64</f>
        <v>373</v>
      </c>
      <c r="C11" s="117"/>
      <c r="D11" s="305"/>
      <c r="E11" s="120">
        <f>SUM(B11:D11)</f>
        <v>373</v>
      </c>
      <c r="F11" s="305">
        <f>isk!D22</f>
        <v>88</v>
      </c>
      <c r="G11" s="305"/>
      <c r="H11" s="120">
        <f>SUM(F11:G11)</f>
        <v>88</v>
      </c>
      <c r="I11" s="117"/>
      <c r="J11" s="305">
        <f>teü!D36</f>
        <v>84</v>
      </c>
      <c r="K11" s="305"/>
      <c r="L11" s="305"/>
      <c r="M11" s="305"/>
      <c r="N11" s="305"/>
      <c r="O11" s="120">
        <f>SUM(I11:N11)</f>
        <v>84</v>
      </c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120">
        <f>SUM(P11:Y11)</f>
        <v>0</v>
      </c>
      <c r="AA11" s="305"/>
      <c r="AB11" s="305">
        <f>AA11*iét!$D$226</f>
        <v>0</v>
      </c>
      <c r="AC11" s="305">
        <f>AA11*iét!$D$227</f>
        <v>0</v>
      </c>
      <c r="AD11" s="305">
        <f>AA11*iét!$D$228</f>
        <v>0</v>
      </c>
      <c r="AE11" s="305">
        <f>AA11*iét!$D$229</f>
        <v>0</v>
      </c>
      <c r="AF11" s="120">
        <f t="shared" si="5"/>
        <v>0</v>
      </c>
      <c r="AG11" s="117"/>
      <c r="AH11" s="305"/>
      <c r="AI11" s="120">
        <f>SUM(AG11:AH11)</f>
        <v>0</v>
      </c>
      <c r="AJ11" s="346">
        <f t="shared" si="6"/>
        <v>545</v>
      </c>
    </row>
    <row r="12" spans="1:36" ht="12">
      <c r="A12" s="115" t="s">
        <v>1205</v>
      </c>
      <c r="B12" s="305"/>
      <c r="C12" s="117"/>
      <c r="D12" s="305"/>
      <c r="E12" s="120">
        <f>SUM(B12:D12)</f>
        <v>0</v>
      </c>
      <c r="F12" s="305"/>
      <c r="G12" s="305"/>
      <c r="H12" s="120">
        <f>SUM(F12:G12)</f>
        <v>0</v>
      </c>
      <c r="I12" s="117"/>
      <c r="J12" s="305"/>
      <c r="K12" s="305"/>
      <c r="L12" s="305"/>
      <c r="M12" s="305"/>
      <c r="N12" s="305"/>
      <c r="O12" s="120">
        <f>SUM(I12:N12)</f>
        <v>0</v>
      </c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120">
        <f>SUM(P12:Y12)</f>
        <v>0</v>
      </c>
      <c r="AA12" s="305"/>
      <c r="AB12" s="305">
        <f>AA12*iét!$D$226</f>
        <v>0</v>
      </c>
      <c r="AC12" s="305">
        <f>AA12*iét!$D$227</f>
        <v>0</v>
      </c>
      <c r="AD12" s="305">
        <f>AA12*iét!$D$228</f>
        <v>0</v>
      </c>
      <c r="AE12" s="305">
        <f>AA12*iét!$D$229</f>
        <v>0</v>
      </c>
      <c r="AF12" s="120">
        <f t="shared" si="5"/>
        <v>0</v>
      </c>
      <c r="AG12" s="117"/>
      <c r="AH12" s="305"/>
      <c r="AI12" s="120">
        <f>SUM(AG12:AH12)</f>
        <v>0</v>
      </c>
      <c r="AJ12" s="131">
        <f t="shared" si="6"/>
        <v>0</v>
      </c>
    </row>
    <row r="13" spans="1:36" ht="12">
      <c r="A13" s="115" t="s">
        <v>1206</v>
      </c>
      <c r="B13" s="305"/>
      <c r="C13" s="117"/>
      <c r="D13" s="305"/>
      <c r="E13" s="120">
        <f>SUM(B13:D13)</f>
        <v>0</v>
      </c>
      <c r="F13" s="305"/>
      <c r="G13" s="305"/>
      <c r="H13" s="120">
        <f>SUM(F13:G13)</f>
        <v>0</v>
      </c>
      <c r="I13" s="117"/>
      <c r="J13" s="305"/>
      <c r="K13" s="305"/>
      <c r="L13" s="305"/>
      <c r="M13" s="305"/>
      <c r="N13" s="305"/>
      <c r="O13" s="120">
        <f>SUM(I13:N13)</f>
        <v>0</v>
      </c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120">
        <f>SUM(P13:Y13)</f>
        <v>0</v>
      </c>
      <c r="AA13" s="305"/>
      <c r="AB13" s="305">
        <f>AA13*iét!$D$226</f>
        <v>0</v>
      </c>
      <c r="AC13" s="305">
        <f>AA13*iét!$D$227</f>
        <v>0</v>
      </c>
      <c r="AD13" s="305">
        <f>AA13*iét!$D$228</f>
        <v>0</v>
      </c>
      <c r="AE13" s="305">
        <f>AA13*iét!$D$229</f>
        <v>0</v>
      </c>
      <c r="AF13" s="120">
        <f t="shared" si="5"/>
        <v>0</v>
      </c>
      <c r="AG13" s="117"/>
      <c r="AH13" s="305"/>
      <c r="AI13" s="120">
        <f>SUM(AG13:AH13)</f>
        <v>0</v>
      </c>
      <c r="AJ13" s="131">
        <f t="shared" si="6"/>
        <v>0</v>
      </c>
    </row>
    <row r="14" spans="1:36" ht="12">
      <c r="A14" s="115" t="s">
        <v>1207</v>
      </c>
      <c r="B14" s="305"/>
      <c r="C14" s="117"/>
      <c r="D14" s="305"/>
      <c r="E14" s="120">
        <f>SUM(B14:D14)</f>
        <v>0</v>
      </c>
      <c r="F14" s="305"/>
      <c r="G14" s="305"/>
      <c r="H14" s="120">
        <f>SUM(F14:G14)</f>
        <v>0</v>
      </c>
      <c r="I14" s="117"/>
      <c r="J14" s="305"/>
      <c r="K14" s="305"/>
      <c r="L14" s="305"/>
      <c r="M14" s="305"/>
      <c r="N14" s="305"/>
      <c r="O14" s="120">
        <f>SUM(I14:N14)</f>
        <v>0</v>
      </c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120">
        <f>SUM(P14:Y14)</f>
        <v>0</v>
      </c>
      <c r="AA14" s="305"/>
      <c r="AB14" s="305">
        <f>AA14*iét!$D$226</f>
        <v>0</v>
      </c>
      <c r="AC14" s="305">
        <f>AA14*iét!$D$227</f>
        <v>0</v>
      </c>
      <c r="AD14" s="305">
        <f>AA14*iét!$D$228</f>
        <v>0</v>
      </c>
      <c r="AE14" s="305">
        <f>AA14*iét!$D$229</f>
        <v>0</v>
      </c>
      <c r="AF14" s="120">
        <f t="shared" si="5"/>
        <v>0</v>
      </c>
      <c r="AG14" s="117"/>
      <c r="AH14" s="305"/>
      <c r="AI14" s="120">
        <f>SUM(AG14:AH14)</f>
        <v>0</v>
      </c>
      <c r="AJ14" s="131">
        <f t="shared" si="6"/>
        <v>0</v>
      </c>
    </row>
    <row r="15" spans="1:36" ht="12">
      <c r="A15" s="121" t="s">
        <v>1208</v>
      </c>
      <c r="B15" s="307">
        <f aca="true" t="shared" si="9" ref="B15:AJ15">SUM(B11:B14)</f>
        <v>373</v>
      </c>
      <c r="C15" s="122"/>
      <c r="D15" s="307">
        <f t="shared" si="9"/>
        <v>0</v>
      </c>
      <c r="E15" s="122">
        <f t="shared" si="9"/>
        <v>373</v>
      </c>
      <c r="F15" s="307">
        <f t="shared" si="9"/>
        <v>88</v>
      </c>
      <c r="G15" s="307">
        <f t="shared" si="9"/>
        <v>0</v>
      </c>
      <c r="H15" s="122">
        <f t="shared" si="9"/>
        <v>88</v>
      </c>
      <c r="I15" s="122">
        <f t="shared" si="9"/>
        <v>0</v>
      </c>
      <c r="J15" s="307">
        <f t="shared" si="9"/>
        <v>84</v>
      </c>
      <c r="K15" s="307">
        <f t="shared" si="9"/>
        <v>0</v>
      </c>
      <c r="L15" s="307">
        <f t="shared" si="9"/>
        <v>0</v>
      </c>
      <c r="M15" s="307">
        <f t="shared" si="9"/>
        <v>0</v>
      </c>
      <c r="N15" s="307">
        <f t="shared" si="9"/>
        <v>0</v>
      </c>
      <c r="O15" s="122">
        <f t="shared" si="9"/>
        <v>84</v>
      </c>
      <c r="P15" s="307">
        <f t="shared" si="9"/>
        <v>0</v>
      </c>
      <c r="Q15" s="307">
        <f t="shared" si="9"/>
        <v>0</v>
      </c>
      <c r="R15" s="307">
        <f t="shared" si="9"/>
        <v>0</v>
      </c>
      <c r="S15" s="307">
        <f t="shared" si="9"/>
        <v>0</v>
      </c>
      <c r="T15" s="307">
        <f t="shared" si="9"/>
        <v>0</v>
      </c>
      <c r="U15" s="307">
        <f>SUM(U11:U14)</f>
        <v>0</v>
      </c>
      <c r="V15" s="307">
        <f>SUM(V11:V14)</f>
        <v>0</v>
      </c>
      <c r="W15" s="307"/>
      <c r="X15" s="307"/>
      <c r="Y15" s="307">
        <f>SUM(Y11:Y14)</f>
        <v>0</v>
      </c>
      <c r="Z15" s="122">
        <f t="shared" si="9"/>
        <v>0</v>
      </c>
      <c r="AA15" s="307">
        <f t="shared" si="9"/>
        <v>0</v>
      </c>
      <c r="AB15" s="307">
        <f t="shared" si="9"/>
        <v>0</v>
      </c>
      <c r="AC15" s="307">
        <f t="shared" si="9"/>
        <v>0</v>
      </c>
      <c r="AD15" s="307">
        <f t="shared" si="9"/>
        <v>0</v>
      </c>
      <c r="AE15" s="307">
        <f t="shared" si="9"/>
        <v>0</v>
      </c>
      <c r="AF15" s="122">
        <f t="shared" si="9"/>
        <v>0</v>
      </c>
      <c r="AG15" s="122">
        <f t="shared" si="9"/>
        <v>0</v>
      </c>
      <c r="AH15" s="307">
        <f t="shared" si="9"/>
        <v>0</v>
      </c>
      <c r="AI15" s="122">
        <f t="shared" si="9"/>
        <v>0</v>
      </c>
      <c r="AJ15" s="307">
        <f t="shared" si="9"/>
        <v>545</v>
      </c>
    </row>
    <row r="16" spans="1:36" ht="12">
      <c r="A16" s="115" t="s">
        <v>1209</v>
      </c>
      <c r="B16" s="305"/>
      <c r="C16" s="117"/>
      <c r="D16" s="305"/>
      <c r="E16" s="120">
        <f>SUM(B16:D16)</f>
        <v>0</v>
      </c>
      <c r="F16" s="305"/>
      <c r="G16" s="305"/>
      <c r="H16" s="120">
        <f>SUM(F16:G16)</f>
        <v>0</v>
      </c>
      <c r="I16" s="117"/>
      <c r="J16" s="305"/>
      <c r="K16" s="305"/>
      <c r="L16" s="305"/>
      <c r="M16" s="305"/>
      <c r="N16" s="305"/>
      <c r="O16" s="120">
        <f>SUM(I16:N16)</f>
        <v>0</v>
      </c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120">
        <f>SUM(P16:Y16)</f>
        <v>0</v>
      </c>
      <c r="AA16" s="305"/>
      <c r="AB16" s="305">
        <f>AA16*iét!$D$226</f>
        <v>0</v>
      </c>
      <c r="AC16" s="305">
        <f>AA16*iét!$D$227</f>
        <v>0</v>
      </c>
      <c r="AD16" s="305">
        <f>AA16*iét!$D$228</f>
        <v>0</v>
      </c>
      <c r="AE16" s="305">
        <f>AA16*iét!$D$229</f>
        <v>0</v>
      </c>
      <c r="AF16" s="120">
        <f t="shared" si="5"/>
        <v>0</v>
      </c>
      <c r="AG16" s="117"/>
      <c r="AH16" s="305"/>
      <c r="AI16" s="120">
        <f>SUM(AG16:AH16)</f>
        <v>0</v>
      </c>
      <c r="AJ16" s="131">
        <f t="shared" si="6"/>
        <v>0</v>
      </c>
    </row>
    <row r="17" spans="1:36" ht="12">
      <c r="A17" s="116" t="s">
        <v>1210</v>
      </c>
      <c r="B17" s="308">
        <f aca="true" t="shared" si="10" ref="B17:AJ17">B15+B16</f>
        <v>373</v>
      </c>
      <c r="C17" s="118"/>
      <c r="D17" s="308">
        <f t="shared" si="10"/>
        <v>0</v>
      </c>
      <c r="E17" s="118">
        <f t="shared" si="10"/>
        <v>373</v>
      </c>
      <c r="F17" s="308">
        <f t="shared" si="10"/>
        <v>88</v>
      </c>
      <c r="G17" s="308">
        <f t="shared" si="10"/>
        <v>0</v>
      </c>
      <c r="H17" s="118">
        <f t="shared" si="10"/>
        <v>88</v>
      </c>
      <c r="I17" s="118">
        <f t="shared" si="10"/>
        <v>0</v>
      </c>
      <c r="J17" s="308">
        <f t="shared" si="10"/>
        <v>84</v>
      </c>
      <c r="K17" s="308">
        <f t="shared" si="10"/>
        <v>0</v>
      </c>
      <c r="L17" s="308">
        <f t="shared" si="10"/>
        <v>0</v>
      </c>
      <c r="M17" s="308">
        <f t="shared" si="10"/>
        <v>0</v>
      </c>
      <c r="N17" s="308">
        <f t="shared" si="10"/>
        <v>0</v>
      </c>
      <c r="O17" s="118">
        <f t="shared" si="10"/>
        <v>84</v>
      </c>
      <c r="P17" s="308">
        <f t="shared" si="10"/>
        <v>0</v>
      </c>
      <c r="Q17" s="308">
        <f t="shared" si="10"/>
        <v>0</v>
      </c>
      <c r="R17" s="308">
        <f t="shared" si="10"/>
        <v>0</v>
      </c>
      <c r="S17" s="308">
        <f t="shared" si="10"/>
        <v>0</v>
      </c>
      <c r="T17" s="308">
        <f t="shared" si="10"/>
        <v>0</v>
      </c>
      <c r="U17" s="308">
        <f>U15+U16</f>
        <v>0</v>
      </c>
      <c r="V17" s="308">
        <f>V15+V16</f>
        <v>0</v>
      </c>
      <c r="W17" s="308"/>
      <c r="X17" s="308"/>
      <c r="Y17" s="308">
        <f>Y15+Y16</f>
        <v>0</v>
      </c>
      <c r="Z17" s="118">
        <f t="shared" si="10"/>
        <v>0</v>
      </c>
      <c r="AA17" s="308">
        <f t="shared" si="10"/>
        <v>0</v>
      </c>
      <c r="AB17" s="308">
        <f t="shared" si="10"/>
        <v>0</v>
      </c>
      <c r="AC17" s="308">
        <f t="shared" si="10"/>
        <v>0</v>
      </c>
      <c r="AD17" s="308">
        <f t="shared" si="10"/>
        <v>0</v>
      </c>
      <c r="AE17" s="308">
        <f t="shared" si="10"/>
        <v>0</v>
      </c>
      <c r="AF17" s="118">
        <f t="shared" si="10"/>
        <v>0</v>
      </c>
      <c r="AG17" s="118">
        <f t="shared" si="10"/>
        <v>0</v>
      </c>
      <c r="AH17" s="308">
        <f t="shared" si="10"/>
        <v>0</v>
      </c>
      <c r="AI17" s="118">
        <f t="shared" si="10"/>
        <v>0</v>
      </c>
      <c r="AJ17" s="308">
        <f t="shared" si="10"/>
        <v>545</v>
      </c>
    </row>
    <row r="18" spans="1:36" ht="12">
      <c r="A18" s="115" t="s">
        <v>1211</v>
      </c>
      <c r="B18" s="117">
        <v>0</v>
      </c>
      <c r="C18" s="117"/>
      <c r="D18" s="305"/>
      <c r="E18" s="120">
        <f>SUM(B18:D18)</f>
        <v>0</v>
      </c>
      <c r="F18" s="305"/>
      <c r="G18" s="305"/>
      <c r="H18" s="120">
        <f>SUM(F18:G18)</f>
        <v>0</v>
      </c>
      <c r="I18" s="117"/>
      <c r="J18" s="305"/>
      <c r="K18" s="305"/>
      <c r="L18" s="305"/>
      <c r="M18" s="305"/>
      <c r="N18" s="305"/>
      <c r="O18" s="120">
        <f>SUM(I18:N18)</f>
        <v>0</v>
      </c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120">
        <f>SUM(P18:Y18)</f>
        <v>0</v>
      </c>
      <c r="AA18" s="305"/>
      <c r="AB18" s="305">
        <f>AA18*iét!$D$226</f>
        <v>0</v>
      </c>
      <c r="AC18" s="305">
        <f>AA18*iét!$D$227</f>
        <v>0</v>
      </c>
      <c r="AD18" s="305">
        <f>AA18*iét!$D$228</f>
        <v>0</v>
      </c>
      <c r="AE18" s="305">
        <f>AA18*iét!$D$229</f>
        <v>0</v>
      </c>
      <c r="AF18" s="120">
        <f t="shared" si="5"/>
        <v>0</v>
      </c>
      <c r="AG18" s="117"/>
      <c r="AH18" s="305"/>
      <c r="AI18" s="120">
        <f>SUM(AG18:AH18)</f>
        <v>0</v>
      </c>
      <c r="AJ18" s="131">
        <f t="shared" si="6"/>
        <v>0</v>
      </c>
    </row>
    <row r="19" spans="1:36" ht="12">
      <c r="A19" s="115" t="s">
        <v>231</v>
      </c>
      <c r="B19" s="117"/>
      <c r="C19" s="117"/>
      <c r="D19" s="305"/>
      <c r="E19" s="120">
        <f>SUM(B19:D19)</f>
        <v>0</v>
      </c>
      <c r="F19" s="305"/>
      <c r="G19" s="305"/>
      <c r="H19" s="120">
        <f>SUM(F19:G19)</f>
        <v>0</v>
      </c>
      <c r="I19" s="117"/>
      <c r="J19" s="305"/>
      <c r="K19" s="305"/>
      <c r="L19" s="305"/>
      <c r="M19" s="305"/>
      <c r="N19" s="305"/>
      <c r="O19" s="120">
        <f>SUM(I19:N19)</f>
        <v>0</v>
      </c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120">
        <f>SUM(P19:Y19)</f>
        <v>0</v>
      </c>
      <c r="AA19" s="305">
        <f>iét!$D$75</f>
        <v>0</v>
      </c>
      <c r="AB19" s="305">
        <f>AA19*iét!$D$226</f>
        <v>0</v>
      </c>
      <c r="AC19" s="305">
        <f>AA19*iét!$D$227</f>
        <v>0</v>
      </c>
      <c r="AD19" s="305">
        <f>AA19*iét!$D$228</f>
        <v>0</v>
      </c>
      <c r="AE19" s="305">
        <f>AA19*iét!$D$229</f>
        <v>0</v>
      </c>
      <c r="AF19" s="120">
        <f t="shared" si="5"/>
        <v>0</v>
      </c>
      <c r="AG19" s="117"/>
      <c r="AH19" s="305"/>
      <c r="AI19" s="120">
        <f>SUM(AG19:AH19)</f>
        <v>0</v>
      </c>
      <c r="AJ19" s="131">
        <f t="shared" si="6"/>
        <v>0</v>
      </c>
    </row>
    <row r="20" spans="1:36" ht="12">
      <c r="A20" s="115" t="s">
        <v>1212</v>
      </c>
      <c r="B20" s="117"/>
      <c r="C20" s="117"/>
      <c r="D20" s="305"/>
      <c r="E20" s="120">
        <f>SUM(B20:D20)</f>
        <v>0</v>
      </c>
      <c r="F20" s="305"/>
      <c r="G20" s="305"/>
      <c r="H20" s="120">
        <f>SUM(F20:G20)</f>
        <v>0</v>
      </c>
      <c r="I20" s="117"/>
      <c r="J20" s="305"/>
      <c r="K20" s="305"/>
      <c r="L20" s="305"/>
      <c r="M20" s="305"/>
      <c r="N20" s="305"/>
      <c r="O20" s="120">
        <f>SUM(I20:N20)</f>
        <v>0</v>
      </c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120">
        <f>SUM(P20:Y20)</f>
        <v>0</v>
      </c>
      <c r="AA20" s="305"/>
      <c r="AB20" s="305">
        <f>AA20*iét!$D$226</f>
        <v>0</v>
      </c>
      <c r="AC20" s="305">
        <f>AA20*iét!$D$227</f>
        <v>0</v>
      </c>
      <c r="AD20" s="305">
        <f>AA20*iét!$D$228</f>
        <v>0</v>
      </c>
      <c r="AE20" s="305">
        <f>AA20*iét!$D$229</f>
        <v>0</v>
      </c>
      <c r="AF20" s="120">
        <f t="shared" si="5"/>
        <v>0</v>
      </c>
      <c r="AG20" s="117"/>
      <c r="AH20" s="305"/>
      <c r="AI20" s="120">
        <f>SUM(AG20:AH20)</f>
        <v>0</v>
      </c>
      <c r="AJ20" s="131">
        <f t="shared" si="6"/>
        <v>0</v>
      </c>
    </row>
    <row r="21" spans="1:36" ht="12">
      <c r="A21" s="115" t="s">
        <v>1213</v>
      </c>
      <c r="B21" s="117"/>
      <c r="C21" s="117"/>
      <c r="D21" s="305"/>
      <c r="E21" s="120">
        <f>SUM(B21:D21)</f>
        <v>0</v>
      </c>
      <c r="F21" s="305"/>
      <c r="G21" s="305"/>
      <c r="H21" s="120">
        <f>SUM(F21:G21)</f>
        <v>0</v>
      </c>
      <c r="I21" s="117"/>
      <c r="J21" s="305"/>
      <c r="K21" s="305"/>
      <c r="L21" s="305"/>
      <c r="M21" s="305"/>
      <c r="N21" s="305"/>
      <c r="O21" s="120">
        <f>SUM(I21:N21)</f>
        <v>0</v>
      </c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120">
        <f>SUM(P21:Y21)</f>
        <v>0</v>
      </c>
      <c r="AA21" s="305"/>
      <c r="AB21" s="305">
        <f>AA21*iét!$D$226</f>
        <v>0</v>
      </c>
      <c r="AC21" s="305">
        <f>AA21*iét!$D$227</f>
        <v>0</v>
      </c>
      <c r="AD21" s="305">
        <f>AA21*iét!$D$228</f>
        <v>0</v>
      </c>
      <c r="AE21" s="305">
        <f>AA21*iét!$D$229</f>
        <v>0</v>
      </c>
      <c r="AF21" s="120">
        <f t="shared" si="5"/>
        <v>0</v>
      </c>
      <c r="AG21" s="117"/>
      <c r="AH21" s="305"/>
      <c r="AI21" s="120">
        <f>SUM(AG21:AH21)</f>
        <v>0</v>
      </c>
      <c r="AJ21" s="131">
        <f t="shared" si="6"/>
        <v>0</v>
      </c>
    </row>
    <row r="22" spans="1:36" ht="12">
      <c r="A22" s="115" t="s">
        <v>1214</v>
      </c>
      <c r="B22" s="117"/>
      <c r="C22" s="117"/>
      <c r="D22" s="305"/>
      <c r="E22" s="120">
        <f>SUM(B22:D22)</f>
        <v>0</v>
      </c>
      <c r="F22" s="305"/>
      <c r="G22" s="305"/>
      <c r="H22" s="120">
        <f>SUM(F22:G22)</f>
        <v>0</v>
      </c>
      <c r="I22" s="117"/>
      <c r="J22" s="305"/>
      <c r="K22" s="305"/>
      <c r="L22" s="305"/>
      <c r="M22" s="305"/>
      <c r="N22" s="305"/>
      <c r="O22" s="120">
        <f>SUM(I22:N22)</f>
        <v>0</v>
      </c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120">
        <f>SUM(P22:Y22)</f>
        <v>0</v>
      </c>
      <c r="AA22" s="305">
        <v>175</v>
      </c>
      <c r="AB22" s="305">
        <f>AA22*iét!$D$226</f>
        <v>27.834288689616095</v>
      </c>
      <c r="AC22" s="305">
        <f>AA22*iét!$D$227</f>
        <v>85.25466214007626</v>
      </c>
      <c r="AD22" s="305">
        <f>AA22*iét!$D$228</f>
        <v>23.912268506182045</v>
      </c>
      <c r="AE22" s="305">
        <f>AA22*iét!$D$229</f>
        <v>37.99878066412558</v>
      </c>
      <c r="AF22" s="120">
        <f t="shared" si="5"/>
        <v>174.99999999999997</v>
      </c>
      <c r="AG22" s="117"/>
      <c r="AH22" s="305"/>
      <c r="AI22" s="120">
        <f>SUM(AG22:AH22)</f>
        <v>0</v>
      </c>
      <c r="AJ22" s="346">
        <f t="shared" si="6"/>
        <v>174.99999999999997</v>
      </c>
    </row>
    <row r="23" spans="1:36" ht="12">
      <c r="A23" s="121" t="s">
        <v>1215</v>
      </c>
      <c r="B23" s="122">
        <f aca="true" t="shared" si="11" ref="B23:AJ23">SUM(B18:B22)</f>
        <v>0</v>
      </c>
      <c r="C23" s="122"/>
      <c r="D23" s="307">
        <f t="shared" si="11"/>
        <v>0</v>
      </c>
      <c r="E23" s="122">
        <f t="shared" si="11"/>
        <v>0</v>
      </c>
      <c r="F23" s="307">
        <f>SUM(F18:F22)</f>
        <v>0</v>
      </c>
      <c r="G23" s="307">
        <f t="shared" si="11"/>
        <v>0</v>
      </c>
      <c r="H23" s="122">
        <f t="shared" si="11"/>
        <v>0</v>
      </c>
      <c r="I23" s="122">
        <f t="shared" si="11"/>
        <v>0</v>
      </c>
      <c r="J23" s="307">
        <f t="shared" si="11"/>
        <v>0</v>
      </c>
      <c r="K23" s="307">
        <f t="shared" si="11"/>
        <v>0</v>
      </c>
      <c r="L23" s="307">
        <f t="shared" si="11"/>
        <v>0</v>
      </c>
      <c r="M23" s="307">
        <f t="shared" si="11"/>
        <v>0</v>
      </c>
      <c r="N23" s="307">
        <f t="shared" si="11"/>
        <v>0</v>
      </c>
      <c r="O23" s="122">
        <f t="shared" si="11"/>
        <v>0</v>
      </c>
      <c r="P23" s="307">
        <f t="shared" si="11"/>
        <v>0</v>
      </c>
      <c r="Q23" s="307">
        <f t="shared" si="11"/>
        <v>0</v>
      </c>
      <c r="R23" s="307">
        <f t="shared" si="11"/>
        <v>0</v>
      </c>
      <c r="S23" s="307">
        <f t="shared" si="11"/>
        <v>0</v>
      </c>
      <c r="T23" s="307">
        <f>SUM(T18:T22)</f>
        <v>0</v>
      </c>
      <c r="U23" s="307">
        <f>SUM(U18:U22)</f>
        <v>0</v>
      </c>
      <c r="V23" s="307">
        <f>SUM(V18:V22)</f>
        <v>0</v>
      </c>
      <c r="W23" s="307"/>
      <c r="X23" s="307"/>
      <c r="Y23" s="307">
        <f>SUM(Y18:Y22)</f>
        <v>0</v>
      </c>
      <c r="Z23" s="122">
        <f t="shared" si="11"/>
        <v>0</v>
      </c>
      <c r="AA23" s="307">
        <f t="shared" si="11"/>
        <v>175</v>
      </c>
      <c r="AB23" s="307">
        <f t="shared" si="11"/>
        <v>27.834288689616095</v>
      </c>
      <c r="AC23" s="307">
        <f t="shared" si="11"/>
        <v>85.25466214007626</v>
      </c>
      <c r="AD23" s="307">
        <f t="shared" si="11"/>
        <v>23.912268506182045</v>
      </c>
      <c r="AE23" s="307">
        <f t="shared" si="11"/>
        <v>37.99878066412558</v>
      </c>
      <c r="AF23" s="122">
        <f t="shared" si="11"/>
        <v>174.99999999999997</v>
      </c>
      <c r="AG23" s="122">
        <f t="shared" si="11"/>
        <v>0</v>
      </c>
      <c r="AH23" s="307">
        <f t="shared" si="11"/>
        <v>0</v>
      </c>
      <c r="AI23" s="122">
        <f t="shared" si="11"/>
        <v>0</v>
      </c>
      <c r="AJ23" s="307">
        <f t="shared" si="11"/>
        <v>174.99999999999997</v>
      </c>
    </row>
    <row r="24" spans="1:36" ht="12">
      <c r="A24" s="115" t="s">
        <v>1226</v>
      </c>
      <c r="B24" s="117"/>
      <c r="C24" s="117"/>
      <c r="D24" s="305"/>
      <c r="E24" s="120">
        <f>SUM(B24:D24)</f>
        <v>0</v>
      </c>
      <c r="F24" s="305"/>
      <c r="G24" s="305"/>
      <c r="H24" s="120">
        <f>SUM(F24:G24)</f>
        <v>0</v>
      </c>
      <c r="I24" s="117"/>
      <c r="J24" s="305"/>
      <c r="K24" s="305"/>
      <c r="L24" s="305"/>
      <c r="M24" s="305"/>
      <c r="N24" s="305"/>
      <c r="O24" s="120">
        <f>SUM(I24:N24)</f>
        <v>0</v>
      </c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120">
        <f>SUM(P24:Y24)</f>
        <v>0</v>
      </c>
      <c r="AA24" s="305"/>
      <c r="AB24" s="305">
        <f>AA24*iét!$D$226</f>
        <v>0</v>
      </c>
      <c r="AC24" s="305">
        <f>AA24*iét!$D$227</f>
        <v>0</v>
      </c>
      <c r="AD24" s="305">
        <f>AA24*iét!$D$228</f>
        <v>0</v>
      </c>
      <c r="AE24" s="305">
        <f>AA24*iét!$D$229</f>
        <v>0</v>
      </c>
      <c r="AF24" s="120">
        <f t="shared" si="5"/>
        <v>0</v>
      </c>
      <c r="AG24" s="117"/>
      <c r="AH24" s="305"/>
      <c r="AI24" s="120">
        <f>SUM(AG24:AH24)</f>
        <v>0</v>
      </c>
      <c r="AJ24" s="131">
        <f t="shared" si="6"/>
        <v>0</v>
      </c>
    </row>
    <row r="25" spans="1:36" ht="12">
      <c r="A25" s="116" t="s">
        <v>1227</v>
      </c>
      <c r="B25" s="118">
        <f aca="true" t="shared" si="12" ref="B25:AJ25">B23+B24</f>
        <v>0</v>
      </c>
      <c r="C25" s="118"/>
      <c r="D25" s="308">
        <f t="shared" si="12"/>
        <v>0</v>
      </c>
      <c r="E25" s="118">
        <f t="shared" si="12"/>
        <v>0</v>
      </c>
      <c r="F25" s="308">
        <f>F23+F24</f>
        <v>0</v>
      </c>
      <c r="G25" s="308">
        <f t="shared" si="12"/>
        <v>0</v>
      </c>
      <c r="H25" s="118">
        <f t="shared" si="12"/>
        <v>0</v>
      </c>
      <c r="I25" s="118">
        <f t="shared" si="12"/>
        <v>0</v>
      </c>
      <c r="J25" s="308">
        <f t="shared" si="12"/>
        <v>0</v>
      </c>
      <c r="K25" s="308">
        <f t="shared" si="12"/>
        <v>0</v>
      </c>
      <c r="L25" s="308">
        <f t="shared" si="12"/>
        <v>0</v>
      </c>
      <c r="M25" s="308">
        <f t="shared" si="12"/>
        <v>0</v>
      </c>
      <c r="N25" s="308">
        <f t="shared" si="12"/>
        <v>0</v>
      </c>
      <c r="O25" s="118">
        <f t="shared" si="12"/>
        <v>0</v>
      </c>
      <c r="P25" s="308">
        <f t="shared" si="12"/>
        <v>0</v>
      </c>
      <c r="Q25" s="308">
        <f t="shared" si="12"/>
        <v>0</v>
      </c>
      <c r="R25" s="308">
        <f t="shared" si="12"/>
        <v>0</v>
      </c>
      <c r="S25" s="308">
        <f t="shared" si="12"/>
        <v>0</v>
      </c>
      <c r="T25" s="308">
        <f>T23+T24</f>
        <v>0</v>
      </c>
      <c r="U25" s="308">
        <f>U23+U24</f>
        <v>0</v>
      </c>
      <c r="V25" s="308">
        <f>V23+V24</f>
        <v>0</v>
      </c>
      <c r="W25" s="308"/>
      <c r="X25" s="308"/>
      <c r="Y25" s="308">
        <f>Y23+Y24</f>
        <v>0</v>
      </c>
      <c r="Z25" s="118">
        <f t="shared" si="12"/>
        <v>0</v>
      </c>
      <c r="AA25" s="308">
        <f t="shared" si="12"/>
        <v>175</v>
      </c>
      <c r="AB25" s="308">
        <f t="shared" si="12"/>
        <v>27.834288689616095</v>
      </c>
      <c r="AC25" s="308">
        <f t="shared" si="12"/>
        <v>85.25466214007626</v>
      </c>
      <c r="AD25" s="308">
        <f t="shared" si="12"/>
        <v>23.912268506182045</v>
      </c>
      <c r="AE25" s="308">
        <f>AE23+AE24</f>
        <v>37.99878066412558</v>
      </c>
      <c r="AF25" s="118">
        <f>AF23+AF24</f>
        <v>174.99999999999997</v>
      </c>
      <c r="AG25" s="118">
        <f t="shared" si="12"/>
        <v>0</v>
      </c>
      <c r="AH25" s="308">
        <f t="shared" si="12"/>
        <v>0</v>
      </c>
      <c r="AI25" s="118">
        <f t="shared" si="12"/>
        <v>0</v>
      </c>
      <c r="AJ25" s="308">
        <f t="shared" si="12"/>
        <v>174.99999999999997</v>
      </c>
    </row>
    <row r="26" spans="1:36" ht="12">
      <c r="A26" s="115" t="s">
        <v>1308</v>
      </c>
      <c r="B26" s="305">
        <f>hiv!D70</f>
        <v>77</v>
      </c>
      <c r="C26" s="305"/>
      <c r="D26" s="305">
        <f>körj!D36</f>
        <v>39</v>
      </c>
      <c r="E26" s="120">
        <f>SUM(B26:D26)</f>
        <v>116</v>
      </c>
      <c r="F26" s="305"/>
      <c r="G26" s="305"/>
      <c r="H26" s="120">
        <f>SUM(F26:G26)</f>
        <v>0</v>
      </c>
      <c r="I26" s="117"/>
      <c r="J26" s="305"/>
      <c r="K26" s="305"/>
      <c r="L26" s="305"/>
      <c r="M26" s="305"/>
      <c r="N26" s="305"/>
      <c r="O26" s="120">
        <f>SUM(I26:N26)</f>
        <v>0</v>
      </c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120">
        <f>SUM(P26:Y26)</f>
        <v>0</v>
      </c>
      <c r="AA26" s="305"/>
      <c r="AB26" s="305">
        <f>AA26*iét!$D$226</f>
        <v>0</v>
      </c>
      <c r="AC26" s="305">
        <f>AA26*iét!$D$227</f>
        <v>0</v>
      </c>
      <c r="AD26" s="305">
        <f>AA26*iét!$D$228</f>
        <v>0</v>
      </c>
      <c r="AE26" s="305">
        <f>AA26*iét!$D$229</f>
        <v>0</v>
      </c>
      <c r="AF26" s="120">
        <f t="shared" si="5"/>
        <v>0</v>
      </c>
      <c r="AG26" s="117"/>
      <c r="AH26" s="305"/>
      <c r="AI26" s="120">
        <f>SUM(AG26:AH26)</f>
        <v>0</v>
      </c>
      <c r="AJ26" s="346">
        <f t="shared" si="6"/>
        <v>116</v>
      </c>
    </row>
    <row r="27" spans="1:36" ht="12">
      <c r="A27" s="115" t="s">
        <v>1309</v>
      </c>
      <c r="B27" s="305"/>
      <c r="C27" s="117"/>
      <c r="D27" s="305"/>
      <c r="E27" s="120">
        <f>SUM(B27:D27)</f>
        <v>0</v>
      </c>
      <c r="F27" s="305"/>
      <c r="G27" s="305"/>
      <c r="H27" s="120">
        <f>SUM(F27:G27)</f>
        <v>0</v>
      </c>
      <c r="I27" s="117"/>
      <c r="J27" s="305"/>
      <c r="K27" s="305"/>
      <c r="L27" s="305"/>
      <c r="M27" s="305"/>
      <c r="N27" s="305"/>
      <c r="O27" s="120">
        <f>SUM(I27:N27)</f>
        <v>0</v>
      </c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120">
        <f>SUM(P27:Y27)</f>
        <v>0</v>
      </c>
      <c r="AA27" s="305"/>
      <c r="AB27" s="305">
        <f>AA27*iét!$D$226</f>
        <v>0</v>
      </c>
      <c r="AC27" s="305">
        <f>AA27*iét!$D$227</f>
        <v>0</v>
      </c>
      <c r="AD27" s="305">
        <f>AA27*iét!$D$228</f>
        <v>0</v>
      </c>
      <c r="AE27" s="305">
        <f>AA27*iét!$D$229</f>
        <v>0</v>
      </c>
      <c r="AF27" s="120">
        <f t="shared" si="5"/>
        <v>0</v>
      </c>
      <c r="AG27" s="117"/>
      <c r="AH27" s="305"/>
      <c r="AI27" s="120">
        <f>SUM(AG27:AH27)</f>
        <v>0</v>
      </c>
      <c r="AJ27" s="131">
        <f t="shared" si="6"/>
        <v>0</v>
      </c>
    </row>
    <row r="28" spans="1:36" ht="12">
      <c r="A28" s="115" t="s">
        <v>1228</v>
      </c>
      <c r="B28" s="305"/>
      <c r="C28" s="117"/>
      <c r="D28" s="305"/>
      <c r="E28" s="120">
        <f>SUM(B28:D28)</f>
        <v>0</v>
      </c>
      <c r="F28" s="305"/>
      <c r="G28" s="305"/>
      <c r="H28" s="120">
        <f>SUM(F28:G28)</f>
        <v>0</v>
      </c>
      <c r="I28" s="117"/>
      <c r="J28" s="305"/>
      <c r="K28" s="305"/>
      <c r="L28" s="305"/>
      <c r="M28" s="305"/>
      <c r="N28" s="305"/>
      <c r="O28" s="120">
        <f>SUM(I28:N28)</f>
        <v>0</v>
      </c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120">
        <f>SUM(P28:Y28)</f>
        <v>0</v>
      </c>
      <c r="AA28" s="305"/>
      <c r="AB28" s="305">
        <f>AA28*iét!$D$226</f>
        <v>0</v>
      </c>
      <c r="AC28" s="305">
        <f>AA28*iét!$D$227</f>
        <v>0</v>
      </c>
      <c r="AD28" s="305">
        <f>AA28*iét!$D$228</f>
        <v>0</v>
      </c>
      <c r="AE28" s="305">
        <f>AA28*iét!$D$229</f>
        <v>0</v>
      </c>
      <c r="AF28" s="120">
        <f t="shared" si="5"/>
        <v>0</v>
      </c>
      <c r="AG28" s="117"/>
      <c r="AH28" s="305"/>
      <c r="AI28" s="120">
        <f>SUM(AG28:AH28)</f>
        <v>0</v>
      </c>
      <c r="AJ28" s="131">
        <f t="shared" si="6"/>
        <v>0</v>
      </c>
    </row>
    <row r="29" spans="1:36" ht="12">
      <c r="A29" s="115" t="s">
        <v>1311</v>
      </c>
      <c r="B29" s="305">
        <f>hiv!D74</f>
        <v>216</v>
      </c>
      <c r="C29" s="305"/>
      <c r="D29" s="305">
        <f>körj!D41</f>
        <v>72</v>
      </c>
      <c r="E29" s="120">
        <f>SUM(B29:D29)</f>
        <v>288</v>
      </c>
      <c r="F29" s="305">
        <f>isk!D29</f>
        <v>72</v>
      </c>
      <c r="G29" s="305"/>
      <c r="H29" s="120">
        <f>SUM(F29:G29)</f>
        <v>72</v>
      </c>
      <c r="I29" s="117"/>
      <c r="J29" s="305">
        <f>teü!$D$41</f>
        <v>0</v>
      </c>
      <c r="K29" s="305"/>
      <c r="L29" s="305"/>
      <c r="M29" s="305"/>
      <c r="N29" s="305"/>
      <c r="O29" s="120">
        <f>SUM(I29:N29)</f>
        <v>0</v>
      </c>
      <c r="P29" s="305"/>
      <c r="Q29" s="305"/>
      <c r="R29" s="305">
        <f>fsp!$D$125</f>
        <v>0</v>
      </c>
      <c r="S29" s="305"/>
      <c r="T29" s="305"/>
      <c r="U29" s="305"/>
      <c r="V29" s="305"/>
      <c r="W29" s="305"/>
      <c r="X29" s="305"/>
      <c r="Y29" s="305"/>
      <c r="Z29" s="120">
        <f>SUM(P29:Y29)</f>
        <v>0</v>
      </c>
      <c r="AA29" s="305">
        <f>iét!$D$83</f>
        <v>360</v>
      </c>
      <c r="AB29" s="305">
        <f>AA29*iét!$D$226</f>
        <v>57.259108161495966</v>
      </c>
      <c r="AC29" s="305">
        <f>AA29*iét!$D$227</f>
        <v>175.38101925958546</v>
      </c>
      <c r="AD29" s="305">
        <f>AA29*iét!$D$228</f>
        <v>49.190952355574495</v>
      </c>
      <c r="AE29" s="305">
        <f>AA29*iét!$D$229</f>
        <v>78.16892022334406</v>
      </c>
      <c r="AF29" s="120">
        <f t="shared" si="5"/>
        <v>359.99999999999994</v>
      </c>
      <c r="AG29" s="117"/>
      <c r="AH29" s="305">
        <f>elsz!$D$45</f>
        <v>72</v>
      </c>
      <c r="AI29" s="120">
        <f>SUM(AG29:AH29)</f>
        <v>72</v>
      </c>
      <c r="AJ29" s="346">
        <f t="shared" si="6"/>
        <v>792</v>
      </c>
    </row>
    <row r="30" spans="1:36" ht="12">
      <c r="A30" s="115" t="s">
        <v>1229</v>
      </c>
      <c r="B30" s="305">
        <f>hiv!D78</f>
        <v>900</v>
      </c>
      <c r="C30" s="305"/>
      <c r="D30" s="305"/>
      <c r="E30" s="120">
        <f>SUM(B30:D30)</f>
        <v>900</v>
      </c>
      <c r="F30" s="305">
        <f>isk!D34</f>
        <v>0</v>
      </c>
      <c r="G30" s="305"/>
      <c r="H30" s="120">
        <f>SUM(F30:G30)</f>
        <v>0</v>
      </c>
      <c r="I30" s="117"/>
      <c r="J30" s="305"/>
      <c r="K30" s="305"/>
      <c r="L30" s="305"/>
      <c r="M30" s="305"/>
      <c r="N30" s="305"/>
      <c r="O30" s="120">
        <f>SUM(I30:N30)</f>
        <v>0</v>
      </c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120">
        <f>SUM(P30:Y30)</f>
        <v>0</v>
      </c>
      <c r="AA30" s="305">
        <f>iét!$D$88</f>
        <v>0</v>
      </c>
      <c r="AB30" s="305">
        <f>AA30*iét!$D$226</f>
        <v>0</v>
      </c>
      <c r="AC30" s="305">
        <f>AA30*iét!$D$227</f>
        <v>0</v>
      </c>
      <c r="AD30" s="305">
        <f>AA30*iét!$D$228</f>
        <v>0</v>
      </c>
      <c r="AE30" s="305">
        <f>AA30*iét!$D$229</f>
        <v>0</v>
      </c>
      <c r="AF30" s="120">
        <f t="shared" si="5"/>
        <v>0</v>
      </c>
      <c r="AG30" s="117"/>
      <c r="AH30" s="305">
        <f>elsz!$D$46</f>
        <v>0</v>
      </c>
      <c r="AI30" s="120">
        <f>SUM(AG30:AH30)</f>
        <v>0</v>
      </c>
      <c r="AJ30" s="346">
        <f t="shared" si="6"/>
        <v>900</v>
      </c>
    </row>
    <row r="31" spans="1:36" ht="12">
      <c r="A31" s="121" t="s">
        <v>1230</v>
      </c>
      <c r="B31" s="307">
        <f aca="true" t="shared" si="13" ref="B31:AJ31">SUM(B26:B30)</f>
        <v>1193</v>
      </c>
      <c r="C31" s="122"/>
      <c r="D31" s="307">
        <f t="shared" si="13"/>
        <v>111</v>
      </c>
      <c r="E31" s="122">
        <f t="shared" si="13"/>
        <v>1304</v>
      </c>
      <c r="F31" s="307">
        <f>SUM(F26:F30)</f>
        <v>72</v>
      </c>
      <c r="G31" s="307">
        <f t="shared" si="13"/>
        <v>0</v>
      </c>
      <c r="H31" s="122">
        <f t="shared" si="13"/>
        <v>72</v>
      </c>
      <c r="I31" s="122">
        <f t="shared" si="13"/>
        <v>0</v>
      </c>
      <c r="J31" s="307">
        <f t="shared" si="13"/>
        <v>0</v>
      </c>
      <c r="K31" s="307">
        <f t="shared" si="13"/>
        <v>0</v>
      </c>
      <c r="L31" s="307">
        <f t="shared" si="13"/>
        <v>0</v>
      </c>
      <c r="M31" s="307">
        <f t="shared" si="13"/>
        <v>0</v>
      </c>
      <c r="N31" s="307">
        <f t="shared" si="13"/>
        <v>0</v>
      </c>
      <c r="O31" s="122">
        <f t="shared" si="13"/>
        <v>0</v>
      </c>
      <c r="P31" s="307">
        <f t="shared" si="13"/>
        <v>0</v>
      </c>
      <c r="Q31" s="307">
        <f t="shared" si="13"/>
        <v>0</v>
      </c>
      <c r="R31" s="307">
        <f t="shared" si="13"/>
        <v>0</v>
      </c>
      <c r="S31" s="307">
        <f t="shared" si="13"/>
        <v>0</v>
      </c>
      <c r="T31" s="307">
        <f t="shared" si="13"/>
        <v>0</v>
      </c>
      <c r="U31" s="307">
        <f>SUM(U26:U30)</f>
        <v>0</v>
      </c>
      <c r="V31" s="307">
        <f>SUM(V26:V30)</f>
        <v>0</v>
      </c>
      <c r="W31" s="307"/>
      <c r="X31" s="307"/>
      <c r="Y31" s="307">
        <f>SUM(Y26:Y30)</f>
        <v>0</v>
      </c>
      <c r="Z31" s="122">
        <f t="shared" si="13"/>
        <v>0</v>
      </c>
      <c r="AA31" s="307">
        <f t="shared" si="13"/>
        <v>360</v>
      </c>
      <c r="AB31" s="307">
        <f t="shared" si="13"/>
        <v>57.259108161495966</v>
      </c>
      <c r="AC31" s="307">
        <f t="shared" si="13"/>
        <v>175.38101925958546</v>
      </c>
      <c r="AD31" s="307">
        <f t="shared" si="13"/>
        <v>49.190952355574495</v>
      </c>
      <c r="AE31" s="307">
        <f>SUM(AE26:AE30)</f>
        <v>78.16892022334406</v>
      </c>
      <c r="AF31" s="122">
        <f>SUM(AF26:AF30)</f>
        <v>359.99999999999994</v>
      </c>
      <c r="AG31" s="122">
        <f t="shared" si="13"/>
        <v>0</v>
      </c>
      <c r="AH31" s="307">
        <f t="shared" si="13"/>
        <v>72</v>
      </c>
      <c r="AI31" s="122">
        <f t="shared" si="13"/>
        <v>72</v>
      </c>
      <c r="AJ31" s="307">
        <f t="shared" si="13"/>
        <v>1808</v>
      </c>
    </row>
    <row r="32" spans="1:36" ht="12">
      <c r="A32" s="115" t="s">
        <v>1611</v>
      </c>
      <c r="B32" s="305"/>
      <c r="C32" s="117"/>
      <c r="D32" s="305"/>
      <c r="E32" s="120">
        <f>SUM(B32:D32)</f>
        <v>0</v>
      </c>
      <c r="F32" s="305"/>
      <c r="G32" s="305"/>
      <c r="H32" s="120">
        <f>SUM(F32:G32)</f>
        <v>0</v>
      </c>
      <c r="I32" s="117"/>
      <c r="J32" s="305"/>
      <c r="K32" s="305"/>
      <c r="L32" s="305"/>
      <c r="M32" s="305"/>
      <c r="N32" s="305"/>
      <c r="O32" s="120">
        <f>SUM(I32:N32)</f>
        <v>0</v>
      </c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120">
        <f>SUM(P32:Y32)</f>
        <v>0</v>
      </c>
      <c r="AA32" s="305"/>
      <c r="AB32" s="305">
        <f>AA32*iét!$D$226</f>
        <v>0</v>
      </c>
      <c r="AC32" s="305">
        <f>AA32*iét!$D$227</f>
        <v>0</v>
      </c>
      <c r="AD32" s="305">
        <f>AA32*iét!$D$228</f>
        <v>0</v>
      </c>
      <c r="AE32" s="305">
        <f>AA32*iét!$D$229</f>
        <v>0</v>
      </c>
      <c r="AF32" s="120">
        <f t="shared" si="5"/>
        <v>0</v>
      </c>
      <c r="AG32" s="117"/>
      <c r="AH32" s="305"/>
      <c r="AI32" s="120">
        <f>SUM(AG32:AH32)</f>
        <v>0</v>
      </c>
      <c r="AJ32" s="131">
        <f t="shared" si="6"/>
        <v>0</v>
      </c>
    </row>
    <row r="33" spans="1:36" ht="12">
      <c r="A33" s="116" t="s">
        <v>1231</v>
      </c>
      <c r="B33" s="308">
        <f aca="true" t="shared" si="14" ref="B33:AJ33">B31+B32</f>
        <v>1193</v>
      </c>
      <c r="C33" s="118"/>
      <c r="D33" s="308">
        <f t="shared" si="14"/>
        <v>111</v>
      </c>
      <c r="E33" s="118">
        <f t="shared" si="14"/>
        <v>1304</v>
      </c>
      <c r="F33" s="308">
        <f>F31+F32</f>
        <v>72</v>
      </c>
      <c r="G33" s="308">
        <f t="shared" si="14"/>
        <v>0</v>
      </c>
      <c r="H33" s="118">
        <f t="shared" si="14"/>
        <v>72</v>
      </c>
      <c r="I33" s="118">
        <f t="shared" si="14"/>
        <v>0</v>
      </c>
      <c r="J33" s="308">
        <f t="shared" si="14"/>
        <v>0</v>
      </c>
      <c r="K33" s="308">
        <f t="shared" si="14"/>
        <v>0</v>
      </c>
      <c r="L33" s="308">
        <f t="shared" si="14"/>
        <v>0</v>
      </c>
      <c r="M33" s="308">
        <f t="shared" si="14"/>
        <v>0</v>
      </c>
      <c r="N33" s="308">
        <f t="shared" si="14"/>
        <v>0</v>
      </c>
      <c r="O33" s="118">
        <f t="shared" si="14"/>
        <v>0</v>
      </c>
      <c r="P33" s="308">
        <f t="shared" si="14"/>
        <v>0</v>
      </c>
      <c r="Q33" s="308">
        <f t="shared" si="14"/>
        <v>0</v>
      </c>
      <c r="R33" s="308">
        <f t="shared" si="14"/>
        <v>0</v>
      </c>
      <c r="S33" s="308">
        <f t="shared" si="14"/>
        <v>0</v>
      </c>
      <c r="T33" s="308">
        <f t="shared" si="14"/>
        <v>0</v>
      </c>
      <c r="U33" s="308">
        <f>U31+U32</f>
        <v>0</v>
      </c>
      <c r="V33" s="308">
        <f>V31+V32</f>
        <v>0</v>
      </c>
      <c r="W33" s="308"/>
      <c r="X33" s="308"/>
      <c r="Y33" s="308">
        <f>Y31+Y32</f>
        <v>0</v>
      </c>
      <c r="Z33" s="118">
        <f t="shared" si="14"/>
        <v>0</v>
      </c>
      <c r="AA33" s="308">
        <f t="shared" si="14"/>
        <v>360</v>
      </c>
      <c r="AB33" s="308">
        <f t="shared" si="14"/>
        <v>57.259108161495966</v>
      </c>
      <c r="AC33" s="308">
        <f t="shared" si="14"/>
        <v>175.38101925958546</v>
      </c>
      <c r="AD33" s="308">
        <f t="shared" si="14"/>
        <v>49.190952355574495</v>
      </c>
      <c r="AE33" s="308">
        <f>AE31+AE32</f>
        <v>78.16892022334406</v>
      </c>
      <c r="AF33" s="118">
        <f>AF31+AF32</f>
        <v>359.99999999999994</v>
      </c>
      <c r="AG33" s="118">
        <f t="shared" si="14"/>
        <v>0</v>
      </c>
      <c r="AH33" s="308">
        <f t="shared" si="14"/>
        <v>72</v>
      </c>
      <c r="AI33" s="118">
        <f t="shared" si="14"/>
        <v>72</v>
      </c>
      <c r="AJ33" s="308">
        <f t="shared" si="14"/>
        <v>1808</v>
      </c>
    </row>
    <row r="34" spans="1:36" ht="12">
      <c r="A34" s="115" t="s">
        <v>1232</v>
      </c>
      <c r="B34" s="305">
        <v>0</v>
      </c>
      <c r="C34" s="117"/>
      <c r="D34" s="305"/>
      <c r="E34" s="120">
        <f>SUM(B34:D34)</f>
        <v>0</v>
      </c>
      <c r="F34" s="305"/>
      <c r="G34" s="305"/>
      <c r="H34" s="120">
        <f>SUM(F34:G34)</f>
        <v>0</v>
      </c>
      <c r="I34" s="117"/>
      <c r="J34" s="305"/>
      <c r="K34" s="305"/>
      <c r="L34" s="305"/>
      <c r="M34" s="305"/>
      <c r="N34" s="305"/>
      <c r="O34" s="120">
        <f>SUM(I34:N34)</f>
        <v>0</v>
      </c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120">
        <f>SUM(P34:Y34)</f>
        <v>0</v>
      </c>
      <c r="AA34" s="305"/>
      <c r="AB34" s="305">
        <f>AA34*iét!$D$226</f>
        <v>0</v>
      </c>
      <c r="AC34" s="305">
        <f>AA34*iét!$D$227</f>
        <v>0</v>
      </c>
      <c r="AD34" s="305">
        <f>AA34*iét!$D$228</f>
        <v>0</v>
      </c>
      <c r="AE34" s="305">
        <f>AA34*iét!$D$229</f>
        <v>0</v>
      </c>
      <c r="AF34" s="120">
        <f t="shared" si="5"/>
        <v>0</v>
      </c>
      <c r="AG34" s="117"/>
      <c r="AH34" s="305"/>
      <c r="AI34" s="120">
        <f>SUM(AG34:AH34)</f>
        <v>0</v>
      </c>
      <c r="AJ34" s="346">
        <f t="shared" si="6"/>
        <v>0</v>
      </c>
    </row>
    <row r="35" spans="1:36" ht="12">
      <c r="A35" s="115" t="s">
        <v>296</v>
      </c>
      <c r="B35" s="305"/>
      <c r="C35" s="117"/>
      <c r="D35" s="305"/>
      <c r="E35" s="120">
        <f>SUM(B35:D35)</f>
        <v>0</v>
      </c>
      <c r="F35" s="305"/>
      <c r="G35" s="305"/>
      <c r="H35" s="120">
        <f>SUM(F35:G35)</f>
        <v>0</v>
      </c>
      <c r="I35" s="117"/>
      <c r="J35" s="305"/>
      <c r="K35" s="305"/>
      <c r="L35" s="305"/>
      <c r="M35" s="305"/>
      <c r="N35" s="305"/>
      <c r="O35" s="120">
        <f>SUM(I35:N35)</f>
        <v>0</v>
      </c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120">
        <f>SUM(P35:Y35)</f>
        <v>0</v>
      </c>
      <c r="AA35" s="305"/>
      <c r="AB35" s="305">
        <f>AA35*iét!$D$226</f>
        <v>0</v>
      </c>
      <c r="AC35" s="305">
        <f>AA35*iét!$D$227</f>
        <v>0</v>
      </c>
      <c r="AD35" s="305">
        <f>AA35*iét!$D$228</f>
        <v>0</v>
      </c>
      <c r="AE35" s="305">
        <f>AA35*iét!$D$229</f>
        <v>0</v>
      </c>
      <c r="AF35" s="120">
        <f t="shared" si="5"/>
        <v>0</v>
      </c>
      <c r="AG35" s="117"/>
      <c r="AH35" s="305"/>
      <c r="AI35" s="120">
        <f>SUM(AG35:AH35)</f>
        <v>0</v>
      </c>
      <c r="AJ35" s="346">
        <f t="shared" si="6"/>
        <v>0</v>
      </c>
    </row>
    <row r="36" spans="1:36" ht="12">
      <c r="A36" s="116" t="s">
        <v>297</v>
      </c>
      <c r="B36" s="308">
        <f aca="true" t="shared" si="15" ref="B36:AJ36">SUM(B34:B35)</f>
        <v>0</v>
      </c>
      <c r="C36" s="118"/>
      <c r="D36" s="308">
        <f t="shared" si="15"/>
        <v>0</v>
      </c>
      <c r="E36" s="118">
        <f t="shared" si="15"/>
        <v>0</v>
      </c>
      <c r="F36" s="308">
        <f>SUM(F34:F35)</f>
        <v>0</v>
      </c>
      <c r="G36" s="308">
        <f t="shared" si="15"/>
        <v>0</v>
      </c>
      <c r="H36" s="118">
        <f t="shared" si="15"/>
        <v>0</v>
      </c>
      <c r="I36" s="118">
        <f t="shared" si="15"/>
        <v>0</v>
      </c>
      <c r="J36" s="308">
        <f t="shared" si="15"/>
        <v>0</v>
      </c>
      <c r="K36" s="308">
        <f t="shared" si="15"/>
        <v>0</v>
      </c>
      <c r="L36" s="308">
        <f t="shared" si="15"/>
        <v>0</v>
      </c>
      <c r="M36" s="308">
        <f t="shared" si="15"/>
        <v>0</v>
      </c>
      <c r="N36" s="308">
        <f t="shared" si="15"/>
        <v>0</v>
      </c>
      <c r="O36" s="118">
        <f t="shared" si="15"/>
        <v>0</v>
      </c>
      <c r="P36" s="308">
        <f t="shared" si="15"/>
        <v>0</v>
      </c>
      <c r="Q36" s="308">
        <f t="shared" si="15"/>
        <v>0</v>
      </c>
      <c r="R36" s="308">
        <f t="shared" si="15"/>
        <v>0</v>
      </c>
      <c r="S36" s="308">
        <f t="shared" si="15"/>
        <v>0</v>
      </c>
      <c r="T36" s="308">
        <f t="shared" si="15"/>
        <v>0</v>
      </c>
      <c r="U36" s="308">
        <f>SUM(U34:U35)</f>
        <v>0</v>
      </c>
      <c r="V36" s="308">
        <f>SUM(V34:V35)</f>
        <v>0</v>
      </c>
      <c r="W36" s="308"/>
      <c r="X36" s="308"/>
      <c r="Y36" s="308">
        <f>SUM(Y34:Y35)</f>
        <v>0</v>
      </c>
      <c r="Z36" s="118">
        <f t="shared" si="15"/>
        <v>0</v>
      </c>
      <c r="AA36" s="308">
        <f t="shared" si="15"/>
        <v>0</v>
      </c>
      <c r="AB36" s="308">
        <f t="shared" si="15"/>
        <v>0</v>
      </c>
      <c r="AC36" s="308">
        <f t="shared" si="15"/>
        <v>0</v>
      </c>
      <c r="AD36" s="308">
        <f t="shared" si="15"/>
        <v>0</v>
      </c>
      <c r="AE36" s="308">
        <f>SUM(AE34:AE35)</f>
        <v>0</v>
      </c>
      <c r="AF36" s="118">
        <f>SUM(AF34:AF35)</f>
        <v>0</v>
      </c>
      <c r="AG36" s="118">
        <f t="shared" si="15"/>
        <v>0</v>
      </c>
      <c r="AH36" s="308">
        <f t="shared" si="15"/>
        <v>0</v>
      </c>
      <c r="AI36" s="118">
        <f t="shared" si="15"/>
        <v>0</v>
      </c>
      <c r="AJ36" s="308">
        <f t="shared" si="15"/>
        <v>0</v>
      </c>
    </row>
    <row r="37" spans="1:36" ht="12">
      <c r="A37" s="125" t="s">
        <v>298</v>
      </c>
      <c r="B37" s="306">
        <f aca="true" t="shared" si="16" ref="B37:AJ37">B15+B23+B31+B34</f>
        <v>1566</v>
      </c>
      <c r="C37" s="126"/>
      <c r="D37" s="306">
        <f t="shared" si="16"/>
        <v>111</v>
      </c>
      <c r="E37" s="126">
        <f t="shared" si="16"/>
        <v>1677</v>
      </c>
      <c r="F37" s="306">
        <f t="shared" si="16"/>
        <v>160</v>
      </c>
      <c r="G37" s="306">
        <f t="shared" si="16"/>
        <v>0</v>
      </c>
      <c r="H37" s="126">
        <f t="shared" si="16"/>
        <v>160</v>
      </c>
      <c r="I37" s="126">
        <f t="shared" si="16"/>
        <v>0</v>
      </c>
      <c r="J37" s="306">
        <f t="shared" si="16"/>
        <v>84</v>
      </c>
      <c r="K37" s="306">
        <f t="shared" si="16"/>
        <v>0</v>
      </c>
      <c r="L37" s="306">
        <f t="shared" si="16"/>
        <v>0</v>
      </c>
      <c r="M37" s="306">
        <f t="shared" si="16"/>
        <v>0</v>
      </c>
      <c r="N37" s="306">
        <f t="shared" si="16"/>
        <v>0</v>
      </c>
      <c r="O37" s="126">
        <f t="shared" si="16"/>
        <v>84</v>
      </c>
      <c r="P37" s="306">
        <f t="shared" si="16"/>
        <v>0</v>
      </c>
      <c r="Q37" s="306">
        <f t="shared" si="16"/>
        <v>0</v>
      </c>
      <c r="R37" s="306">
        <f t="shared" si="16"/>
        <v>0</v>
      </c>
      <c r="S37" s="306">
        <f t="shared" si="16"/>
        <v>0</v>
      </c>
      <c r="T37" s="306">
        <f t="shared" si="16"/>
        <v>0</v>
      </c>
      <c r="U37" s="306">
        <f aca="true" t="shared" si="17" ref="U37:Y38">U15+U23+U31+U34</f>
        <v>0</v>
      </c>
      <c r="V37" s="306">
        <f t="shared" si="17"/>
        <v>0</v>
      </c>
      <c r="W37" s="306"/>
      <c r="X37" s="306"/>
      <c r="Y37" s="306">
        <f t="shared" si="17"/>
        <v>0</v>
      </c>
      <c r="Z37" s="126">
        <f t="shared" si="16"/>
        <v>0</v>
      </c>
      <c r="AA37" s="306">
        <f t="shared" si="16"/>
        <v>535</v>
      </c>
      <c r="AB37" s="306">
        <f t="shared" si="16"/>
        <v>85.09339685111206</v>
      </c>
      <c r="AC37" s="306">
        <f t="shared" si="16"/>
        <v>260.63568139966173</v>
      </c>
      <c r="AD37" s="306">
        <f t="shared" si="16"/>
        <v>73.10322086175654</v>
      </c>
      <c r="AE37" s="306">
        <f>AE15+AE23+AE31+AE34</f>
        <v>116.16770088746964</v>
      </c>
      <c r="AF37" s="126">
        <f>AF15+AF23+AF31+AF34</f>
        <v>534.9999999999999</v>
      </c>
      <c r="AG37" s="126">
        <f t="shared" si="16"/>
        <v>0</v>
      </c>
      <c r="AH37" s="306">
        <f t="shared" si="16"/>
        <v>72</v>
      </c>
      <c r="AI37" s="126">
        <f t="shared" si="16"/>
        <v>72</v>
      </c>
      <c r="AJ37" s="306">
        <f t="shared" si="16"/>
        <v>2528</v>
      </c>
    </row>
    <row r="38" spans="1:36" ht="12">
      <c r="A38" s="125" t="s">
        <v>299</v>
      </c>
      <c r="B38" s="306">
        <f aca="true" t="shared" si="18" ref="B38:AJ38">B16+B24+B32+B35</f>
        <v>0</v>
      </c>
      <c r="C38" s="126"/>
      <c r="D38" s="306">
        <f t="shared" si="18"/>
        <v>0</v>
      </c>
      <c r="E38" s="126">
        <f t="shared" si="18"/>
        <v>0</v>
      </c>
      <c r="F38" s="306">
        <f t="shared" si="18"/>
        <v>0</v>
      </c>
      <c r="G38" s="306">
        <f t="shared" si="18"/>
        <v>0</v>
      </c>
      <c r="H38" s="126">
        <f t="shared" si="18"/>
        <v>0</v>
      </c>
      <c r="I38" s="126">
        <f t="shared" si="18"/>
        <v>0</v>
      </c>
      <c r="J38" s="306">
        <f t="shared" si="18"/>
        <v>0</v>
      </c>
      <c r="K38" s="306">
        <f t="shared" si="18"/>
        <v>0</v>
      </c>
      <c r="L38" s="306">
        <f t="shared" si="18"/>
        <v>0</v>
      </c>
      <c r="M38" s="306">
        <f t="shared" si="18"/>
        <v>0</v>
      </c>
      <c r="N38" s="306">
        <f t="shared" si="18"/>
        <v>0</v>
      </c>
      <c r="O38" s="126">
        <f t="shared" si="18"/>
        <v>0</v>
      </c>
      <c r="P38" s="306">
        <f t="shared" si="18"/>
        <v>0</v>
      </c>
      <c r="Q38" s="306">
        <f t="shared" si="18"/>
        <v>0</v>
      </c>
      <c r="R38" s="306">
        <f t="shared" si="18"/>
        <v>0</v>
      </c>
      <c r="S38" s="306">
        <f t="shared" si="18"/>
        <v>0</v>
      </c>
      <c r="T38" s="306">
        <f t="shared" si="18"/>
        <v>0</v>
      </c>
      <c r="U38" s="306">
        <f t="shared" si="17"/>
        <v>0</v>
      </c>
      <c r="V38" s="306">
        <f t="shared" si="17"/>
        <v>0</v>
      </c>
      <c r="W38" s="306"/>
      <c r="X38" s="306"/>
      <c r="Y38" s="306">
        <f t="shared" si="17"/>
        <v>0</v>
      </c>
      <c r="Z38" s="126">
        <f t="shared" si="18"/>
        <v>0</v>
      </c>
      <c r="AA38" s="306">
        <f t="shared" si="18"/>
        <v>0</v>
      </c>
      <c r="AB38" s="306">
        <f t="shared" si="18"/>
        <v>0</v>
      </c>
      <c r="AC38" s="306">
        <f t="shared" si="18"/>
        <v>0</v>
      </c>
      <c r="AD38" s="306">
        <f t="shared" si="18"/>
        <v>0</v>
      </c>
      <c r="AE38" s="306">
        <f>AE16+AE24+AE32+AE35</f>
        <v>0</v>
      </c>
      <c r="AF38" s="126">
        <f>AF16+AF24+AF32+AF35</f>
        <v>0</v>
      </c>
      <c r="AG38" s="126">
        <f t="shared" si="18"/>
        <v>0</v>
      </c>
      <c r="AH38" s="306">
        <f t="shared" si="18"/>
        <v>0</v>
      </c>
      <c r="AI38" s="126">
        <f t="shared" si="18"/>
        <v>0</v>
      </c>
      <c r="AJ38" s="306">
        <f t="shared" si="18"/>
        <v>0</v>
      </c>
    </row>
    <row r="39" spans="1:36" ht="12">
      <c r="A39" s="136" t="s">
        <v>300</v>
      </c>
      <c r="B39" s="309">
        <f aca="true" t="shared" si="19" ref="B39:AJ39">B37+B38</f>
        <v>1566</v>
      </c>
      <c r="C39" s="137"/>
      <c r="D39" s="309">
        <f t="shared" si="19"/>
        <v>111</v>
      </c>
      <c r="E39" s="137">
        <f t="shared" si="19"/>
        <v>1677</v>
      </c>
      <c r="F39" s="309">
        <f t="shared" si="19"/>
        <v>160</v>
      </c>
      <c r="G39" s="309">
        <f t="shared" si="19"/>
        <v>0</v>
      </c>
      <c r="H39" s="137">
        <f t="shared" si="19"/>
        <v>160</v>
      </c>
      <c r="I39" s="137">
        <f t="shared" si="19"/>
        <v>0</v>
      </c>
      <c r="J39" s="309">
        <f t="shared" si="19"/>
        <v>84</v>
      </c>
      <c r="K39" s="309">
        <f t="shared" si="19"/>
        <v>0</v>
      </c>
      <c r="L39" s="309">
        <f t="shared" si="19"/>
        <v>0</v>
      </c>
      <c r="M39" s="309">
        <f t="shared" si="19"/>
        <v>0</v>
      </c>
      <c r="N39" s="309">
        <f t="shared" si="19"/>
        <v>0</v>
      </c>
      <c r="O39" s="137">
        <f t="shared" si="19"/>
        <v>84</v>
      </c>
      <c r="P39" s="309">
        <f t="shared" si="19"/>
        <v>0</v>
      </c>
      <c r="Q39" s="309">
        <f t="shared" si="19"/>
        <v>0</v>
      </c>
      <c r="R39" s="309">
        <f t="shared" si="19"/>
        <v>0</v>
      </c>
      <c r="S39" s="309">
        <f t="shared" si="19"/>
        <v>0</v>
      </c>
      <c r="T39" s="309">
        <f t="shared" si="19"/>
        <v>0</v>
      </c>
      <c r="U39" s="309">
        <f>U37+U38</f>
        <v>0</v>
      </c>
      <c r="V39" s="309">
        <f>V37+V38</f>
        <v>0</v>
      </c>
      <c r="W39" s="309"/>
      <c r="X39" s="309"/>
      <c r="Y39" s="309">
        <f>Y37+Y38</f>
        <v>0</v>
      </c>
      <c r="Z39" s="137">
        <f t="shared" si="19"/>
        <v>0</v>
      </c>
      <c r="AA39" s="309">
        <f t="shared" si="19"/>
        <v>535</v>
      </c>
      <c r="AB39" s="309">
        <f t="shared" si="19"/>
        <v>85.09339685111206</v>
      </c>
      <c r="AC39" s="309">
        <f t="shared" si="19"/>
        <v>260.63568139966173</v>
      </c>
      <c r="AD39" s="309">
        <f t="shared" si="19"/>
        <v>73.10322086175654</v>
      </c>
      <c r="AE39" s="309">
        <f>AE37+AE38</f>
        <v>116.16770088746964</v>
      </c>
      <c r="AF39" s="137">
        <f>AF37+AF38</f>
        <v>534.9999999999999</v>
      </c>
      <c r="AG39" s="137">
        <f t="shared" si="19"/>
        <v>0</v>
      </c>
      <c r="AH39" s="309">
        <f t="shared" si="19"/>
        <v>72</v>
      </c>
      <c r="AI39" s="137">
        <f t="shared" si="19"/>
        <v>72</v>
      </c>
      <c r="AJ39" s="309">
        <f t="shared" si="19"/>
        <v>2528</v>
      </c>
    </row>
    <row r="40" spans="1:36" ht="12">
      <c r="A40" s="115" t="s">
        <v>1268</v>
      </c>
      <c r="B40" s="305">
        <f>hiv!D92</f>
        <v>2796</v>
      </c>
      <c r="C40" s="117"/>
      <c r="D40" s="305"/>
      <c r="E40" s="120">
        <f aca="true" t="shared" si="20" ref="E40:E45">SUM(B40:D40)</f>
        <v>2796</v>
      </c>
      <c r="F40" s="305"/>
      <c r="G40" s="305"/>
      <c r="H40" s="120">
        <f aca="true" t="shared" si="21" ref="H40:H45">SUM(F40:G40)</f>
        <v>0</v>
      </c>
      <c r="I40" s="117"/>
      <c r="J40" s="305">
        <f>teü!$D$47</f>
        <v>70</v>
      </c>
      <c r="K40" s="305"/>
      <c r="L40" s="305"/>
      <c r="M40" s="305"/>
      <c r="N40" s="305"/>
      <c r="O40" s="120">
        <f aca="true" t="shared" si="22" ref="O40:O45">SUM(I40:N40)</f>
        <v>70</v>
      </c>
      <c r="P40" s="305"/>
      <c r="Q40" s="305"/>
      <c r="R40" s="305">
        <v>1320</v>
      </c>
      <c r="S40" s="305"/>
      <c r="T40" s="305"/>
      <c r="U40" s="305"/>
      <c r="V40" s="305"/>
      <c r="W40" s="305"/>
      <c r="X40" s="305"/>
      <c r="Y40" s="305"/>
      <c r="Z40" s="120">
        <f aca="true" t="shared" si="23" ref="Z40:Z45">SUM(P40:Y40)</f>
        <v>1320</v>
      </c>
      <c r="AA40" s="305"/>
      <c r="AB40" s="305">
        <f>AA40*iét!$D$226</f>
        <v>0</v>
      </c>
      <c r="AC40" s="305">
        <f>AA40*iét!$D$227</f>
        <v>0</v>
      </c>
      <c r="AD40" s="305">
        <f>AA40*iét!$D$228</f>
        <v>0</v>
      </c>
      <c r="AE40" s="305">
        <f>AA40*iét!$D$229</f>
        <v>0</v>
      </c>
      <c r="AF40" s="120">
        <f t="shared" si="5"/>
        <v>0</v>
      </c>
      <c r="AG40" s="117"/>
      <c r="AH40" s="305">
        <f>elsz!$D$51</f>
        <v>0</v>
      </c>
      <c r="AI40" s="120">
        <f aca="true" t="shared" si="24" ref="AI40:AI45">SUM(AG40:AH40)</f>
        <v>0</v>
      </c>
      <c r="AJ40" s="346">
        <f aca="true" t="shared" si="25" ref="AJ40:AJ45">E40+H40+O40+Z40+AF40+AI40</f>
        <v>4186</v>
      </c>
    </row>
    <row r="41" spans="1:36" ht="12">
      <c r="A41" s="115" t="s">
        <v>1269</v>
      </c>
      <c r="B41" s="117"/>
      <c r="C41" s="117"/>
      <c r="D41" s="305"/>
      <c r="E41" s="120">
        <f t="shared" si="20"/>
        <v>0</v>
      </c>
      <c r="F41" s="305"/>
      <c r="G41" s="305"/>
      <c r="H41" s="120">
        <f t="shared" si="21"/>
        <v>0</v>
      </c>
      <c r="I41" s="117"/>
      <c r="J41" s="305"/>
      <c r="K41" s="305"/>
      <c r="L41" s="305"/>
      <c r="M41" s="305"/>
      <c r="N41" s="305"/>
      <c r="O41" s="120">
        <f t="shared" si="22"/>
        <v>0</v>
      </c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120">
        <f t="shared" si="23"/>
        <v>0</v>
      </c>
      <c r="AA41" s="305"/>
      <c r="AB41" s="305">
        <f>AA41*iét!$D$226</f>
        <v>0</v>
      </c>
      <c r="AC41" s="305">
        <f>AA41*iét!$D$227</f>
        <v>0</v>
      </c>
      <c r="AD41" s="305">
        <f>AA41*iét!$D$228</f>
        <v>0</v>
      </c>
      <c r="AE41" s="305">
        <f>AA41*iét!$D$229</f>
        <v>0</v>
      </c>
      <c r="AF41" s="120">
        <f t="shared" si="5"/>
        <v>0</v>
      </c>
      <c r="AG41" s="117"/>
      <c r="AH41" s="305"/>
      <c r="AI41" s="120">
        <f t="shared" si="24"/>
        <v>0</v>
      </c>
      <c r="AJ41" s="346">
        <f t="shared" si="25"/>
        <v>0</v>
      </c>
    </row>
    <row r="42" spans="1:36" ht="12">
      <c r="A42" s="115" t="s">
        <v>1270</v>
      </c>
      <c r="B42" s="117"/>
      <c r="C42" s="117"/>
      <c r="D42" s="305"/>
      <c r="E42" s="120">
        <f t="shared" si="20"/>
        <v>0</v>
      </c>
      <c r="F42" s="305"/>
      <c r="G42" s="305"/>
      <c r="H42" s="120">
        <f t="shared" si="21"/>
        <v>0</v>
      </c>
      <c r="I42" s="117"/>
      <c r="J42" s="305"/>
      <c r="K42" s="305"/>
      <c r="L42" s="305"/>
      <c r="M42" s="305"/>
      <c r="N42" s="305"/>
      <c r="O42" s="120">
        <f t="shared" si="22"/>
        <v>0</v>
      </c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120">
        <f t="shared" si="23"/>
        <v>0</v>
      </c>
      <c r="AA42" s="305"/>
      <c r="AB42" s="305">
        <f>AA42*iét!$D$226</f>
        <v>0</v>
      </c>
      <c r="AC42" s="305">
        <f>AA42*iét!$D$227</f>
        <v>0</v>
      </c>
      <c r="AD42" s="305">
        <f>AA42*iét!$D$228</f>
        <v>0</v>
      </c>
      <c r="AE42" s="305">
        <f>AA42*iét!$D$229</f>
        <v>0</v>
      </c>
      <c r="AF42" s="120">
        <f t="shared" si="5"/>
        <v>0</v>
      </c>
      <c r="AG42" s="117"/>
      <c r="AH42" s="305"/>
      <c r="AI42" s="120">
        <f t="shared" si="24"/>
        <v>0</v>
      </c>
      <c r="AJ42" s="346">
        <f t="shared" si="25"/>
        <v>0</v>
      </c>
    </row>
    <row r="43" spans="1:36" ht="12">
      <c r="A43" s="115" t="s">
        <v>1271</v>
      </c>
      <c r="B43" s="117"/>
      <c r="C43" s="117"/>
      <c r="D43" s="305"/>
      <c r="E43" s="120">
        <f t="shared" si="20"/>
        <v>0</v>
      </c>
      <c r="F43" s="305"/>
      <c r="G43" s="305"/>
      <c r="H43" s="120">
        <f t="shared" si="21"/>
        <v>0</v>
      </c>
      <c r="I43" s="117"/>
      <c r="J43" s="305"/>
      <c r="K43" s="305"/>
      <c r="L43" s="305"/>
      <c r="M43" s="305"/>
      <c r="N43" s="305"/>
      <c r="O43" s="120">
        <f t="shared" si="22"/>
        <v>0</v>
      </c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120">
        <f t="shared" si="23"/>
        <v>0</v>
      </c>
      <c r="AA43" s="305"/>
      <c r="AB43" s="305">
        <f>AA43*iét!$D$226</f>
        <v>0</v>
      </c>
      <c r="AC43" s="305">
        <f>AA43*iét!$D$227</f>
        <v>0</v>
      </c>
      <c r="AD43" s="305">
        <f>AA43*iét!$D$228</f>
        <v>0</v>
      </c>
      <c r="AE43" s="305">
        <f>AA43*iét!$D$229</f>
        <v>0</v>
      </c>
      <c r="AF43" s="120">
        <f t="shared" si="5"/>
        <v>0</v>
      </c>
      <c r="AG43" s="117"/>
      <c r="AH43" s="305"/>
      <c r="AI43" s="120">
        <f t="shared" si="24"/>
        <v>0</v>
      </c>
      <c r="AJ43" s="346">
        <f t="shared" si="25"/>
        <v>0</v>
      </c>
    </row>
    <row r="44" spans="1:36" ht="12">
      <c r="A44" s="115" t="s">
        <v>1214</v>
      </c>
      <c r="B44" s="117"/>
      <c r="C44" s="117"/>
      <c r="D44" s="305"/>
      <c r="E44" s="120">
        <f t="shared" si="20"/>
        <v>0</v>
      </c>
      <c r="F44" s="305"/>
      <c r="G44" s="305"/>
      <c r="H44" s="120">
        <f t="shared" si="21"/>
        <v>0</v>
      </c>
      <c r="I44" s="117"/>
      <c r="J44" s="305"/>
      <c r="K44" s="305"/>
      <c r="L44" s="305"/>
      <c r="M44" s="305"/>
      <c r="N44" s="305"/>
      <c r="O44" s="120">
        <f t="shared" si="22"/>
        <v>0</v>
      </c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120">
        <f t="shared" si="23"/>
        <v>0</v>
      </c>
      <c r="AA44" s="305"/>
      <c r="AB44" s="305">
        <f>AA44*iét!$D$226</f>
        <v>0</v>
      </c>
      <c r="AC44" s="305">
        <f>AA44*iét!$D$227</f>
        <v>0</v>
      </c>
      <c r="AD44" s="305">
        <f>AA44*iét!$D$228</f>
        <v>0</v>
      </c>
      <c r="AE44" s="305">
        <f>AA44*iét!$D$229</f>
        <v>0</v>
      </c>
      <c r="AF44" s="120">
        <f t="shared" si="5"/>
        <v>0</v>
      </c>
      <c r="AG44" s="117"/>
      <c r="AH44" s="305"/>
      <c r="AI44" s="120">
        <f t="shared" si="24"/>
        <v>0</v>
      </c>
      <c r="AJ44" s="346">
        <f t="shared" si="25"/>
        <v>0</v>
      </c>
    </row>
    <row r="45" spans="1:36" ht="12">
      <c r="A45" s="115" t="s">
        <v>1272</v>
      </c>
      <c r="B45" s="117"/>
      <c r="C45" s="117"/>
      <c r="D45" s="305"/>
      <c r="E45" s="120">
        <f t="shared" si="20"/>
        <v>0</v>
      </c>
      <c r="F45" s="305"/>
      <c r="G45" s="305"/>
      <c r="H45" s="120">
        <f t="shared" si="21"/>
        <v>0</v>
      </c>
      <c r="I45" s="117"/>
      <c r="J45" s="305"/>
      <c r="K45" s="305"/>
      <c r="L45" s="305"/>
      <c r="M45" s="305"/>
      <c r="N45" s="305"/>
      <c r="O45" s="120">
        <f t="shared" si="22"/>
        <v>0</v>
      </c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120">
        <f t="shared" si="23"/>
        <v>0</v>
      </c>
      <c r="AA45" s="305"/>
      <c r="AB45" s="305">
        <f>AA45*iét!$D$226</f>
        <v>0</v>
      </c>
      <c r="AC45" s="305">
        <f>AA45*iét!$D$227</f>
        <v>0</v>
      </c>
      <c r="AD45" s="305">
        <f>AA45*iét!$D$228</f>
        <v>0</v>
      </c>
      <c r="AE45" s="305">
        <f>AA45*iét!$D$229</f>
        <v>0</v>
      </c>
      <c r="AF45" s="120">
        <f t="shared" si="5"/>
        <v>0</v>
      </c>
      <c r="AG45" s="117"/>
      <c r="AH45" s="305"/>
      <c r="AI45" s="120">
        <f t="shared" si="24"/>
        <v>0</v>
      </c>
      <c r="AJ45" s="346">
        <f t="shared" si="25"/>
        <v>0</v>
      </c>
    </row>
    <row r="46" spans="1:36" ht="12">
      <c r="A46" s="136" t="s">
        <v>1489</v>
      </c>
      <c r="B46" s="309">
        <f aca="true" t="shared" si="26" ref="B46:AJ46">SUM(B40:B45)</f>
        <v>2796</v>
      </c>
      <c r="C46" s="137"/>
      <c r="D46" s="309">
        <f t="shared" si="26"/>
        <v>0</v>
      </c>
      <c r="E46" s="137">
        <f t="shared" si="26"/>
        <v>2796</v>
      </c>
      <c r="F46" s="309">
        <f t="shared" si="26"/>
        <v>0</v>
      </c>
      <c r="G46" s="309">
        <f t="shared" si="26"/>
        <v>0</v>
      </c>
      <c r="H46" s="137">
        <f t="shared" si="26"/>
        <v>0</v>
      </c>
      <c r="I46" s="137">
        <f t="shared" si="26"/>
        <v>0</v>
      </c>
      <c r="J46" s="309">
        <f t="shared" si="26"/>
        <v>70</v>
      </c>
      <c r="K46" s="309">
        <f t="shared" si="26"/>
        <v>0</v>
      </c>
      <c r="L46" s="309">
        <f t="shared" si="26"/>
        <v>0</v>
      </c>
      <c r="M46" s="309">
        <f t="shared" si="26"/>
        <v>0</v>
      </c>
      <c r="N46" s="309">
        <f t="shared" si="26"/>
        <v>0</v>
      </c>
      <c r="O46" s="137">
        <f t="shared" si="26"/>
        <v>70</v>
      </c>
      <c r="P46" s="309">
        <f t="shared" si="26"/>
        <v>0</v>
      </c>
      <c r="Q46" s="309">
        <f t="shared" si="26"/>
        <v>0</v>
      </c>
      <c r="R46" s="309">
        <f t="shared" si="26"/>
        <v>1320</v>
      </c>
      <c r="S46" s="309">
        <f t="shared" si="26"/>
        <v>0</v>
      </c>
      <c r="T46" s="309">
        <f>SUM(T40:T45)</f>
        <v>0</v>
      </c>
      <c r="U46" s="309">
        <f>SUM(U40:U45)</f>
        <v>0</v>
      </c>
      <c r="V46" s="309">
        <f>SUM(V40:V45)</f>
        <v>0</v>
      </c>
      <c r="W46" s="309"/>
      <c r="X46" s="309"/>
      <c r="Y46" s="309">
        <f>SUM(Y40:Y45)</f>
        <v>0</v>
      </c>
      <c r="Z46" s="137">
        <f t="shared" si="26"/>
        <v>1320</v>
      </c>
      <c r="AA46" s="309">
        <f t="shared" si="26"/>
        <v>0</v>
      </c>
      <c r="AB46" s="309">
        <f t="shared" si="26"/>
        <v>0</v>
      </c>
      <c r="AC46" s="309">
        <f t="shared" si="26"/>
        <v>0</v>
      </c>
      <c r="AD46" s="309">
        <f t="shared" si="26"/>
        <v>0</v>
      </c>
      <c r="AE46" s="309">
        <f>SUM(AE40:AE45)</f>
        <v>0</v>
      </c>
      <c r="AF46" s="137">
        <f>SUM(AF40:AF45)</f>
        <v>0</v>
      </c>
      <c r="AG46" s="137">
        <f t="shared" si="26"/>
        <v>0</v>
      </c>
      <c r="AH46" s="309">
        <f t="shared" si="26"/>
        <v>0</v>
      </c>
      <c r="AI46" s="137">
        <f t="shared" si="26"/>
        <v>0</v>
      </c>
      <c r="AJ46" s="309">
        <f t="shared" si="26"/>
        <v>4186</v>
      </c>
    </row>
    <row r="47" spans="1:36" ht="12">
      <c r="A47" s="125" t="s">
        <v>753</v>
      </c>
      <c r="B47" s="306">
        <f aca="true" t="shared" si="27" ref="B47:AJ47">B10+B39+B46</f>
        <v>8217</v>
      </c>
      <c r="C47" s="126"/>
      <c r="D47" s="306">
        <f t="shared" si="27"/>
        <v>2133</v>
      </c>
      <c r="E47" s="126">
        <f>E10+E39+E46</f>
        <v>10350</v>
      </c>
      <c r="F47" s="306">
        <f t="shared" si="27"/>
        <v>1297</v>
      </c>
      <c r="G47" s="306">
        <f t="shared" si="27"/>
        <v>0</v>
      </c>
      <c r="H47" s="126">
        <f t="shared" si="27"/>
        <v>1297</v>
      </c>
      <c r="I47" s="126">
        <f t="shared" si="27"/>
        <v>0</v>
      </c>
      <c r="J47" s="306">
        <f t="shared" si="27"/>
        <v>1162</v>
      </c>
      <c r="K47" s="306">
        <f t="shared" si="27"/>
        <v>0</v>
      </c>
      <c r="L47" s="306">
        <f t="shared" si="27"/>
        <v>0</v>
      </c>
      <c r="M47" s="306">
        <f t="shared" si="27"/>
        <v>0</v>
      </c>
      <c r="N47" s="306">
        <f t="shared" si="27"/>
        <v>0</v>
      </c>
      <c r="O47" s="126">
        <f t="shared" si="27"/>
        <v>1162</v>
      </c>
      <c r="P47" s="333">
        <f t="shared" si="27"/>
        <v>2871</v>
      </c>
      <c r="Q47" s="306">
        <f t="shared" si="27"/>
        <v>0</v>
      </c>
      <c r="R47" s="306">
        <f t="shared" si="27"/>
        <v>1755</v>
      </c>
      <c r="S47" s="306">
        <f t="shared" si="27"/>
        <v>0</v>
      </c>
      <c r="T47" s="306">
        <f>T10+T39+T46</f>
        <v>0</v>
      </c>
      <c r="U47" s="306">
        <f>U10+U39+U46</f>
        <v>0</v>
      </c>
      <c r="V47" s="306">
        <f>V10+V39+V46</f>
        <v>0</v>
      </c>
      <c r="W47" s="306"/>
      <c r="X47" s="306"/>
      <c r="Y47" s="306">
        <f>Y10+Y39+Y46</f>
        <v>0</v>
      </c>
      <c r="Z47" s="126">
        <f t="shared" si="27"/>
        <v>4626</v>
      </c>
      <c r="AA47" s="306">
        <f>AA10+AA39+AA46</f>
        <v>6394</v>
      </c>
      <c r="AB47" s="306">
        <f t="shared" si="27"/>
        <v>1016.9853821794588</v>
      </c>
      <c r="AC47" s="306">
        <f t="shared" si="27"/>
        <v>3114.9617698494153</v>
      </c>
      <c r="AD47" s="306">
        <f t="shared" si="27"/>
        <v>873.6859704487314</v>
      </c>
      <c r="AE47" s="306">
        <f>AE10+AE39+AE46</f>
        <v>1388.3668775223941</v>
      </c>
      <c r="AF47" s="126">
        <f>AF10+AF39+AF46</f>
        <v>6394</v>
      </c>
      <c r="AG47" s="126">
        <f t="shared" si="27"/>
        <v>0</v>
      </c>
      <c r="AH47" s="306">
        <f t="shared" si="27"/>
        <v>1816</v>
      </c>
      <c r="AI47" s="126">
        <f t="shared" si="27"/>
        <v>1816</v>
      </c>
      <c r="AJ47" s="306">
        <f t="shared" si="27"/>
        <v>25645</v>
      </c>
    </row>
    <row r="48" spans="1:36" ht="12">
      <c r="A48" s="115" t="s">
        <v>1273</v>
      </c>
      <c r="B48" s="305">
        <f>hiv!D103</f>
        <v>2026</v>
      </c>
      <c r="C48" s="305"/>
      <c r="D48" s="305">
        <f>körj!D55</f>
        <v>587</v>
      </c>
      <c r="E48" s="120">
        <f aca="true" t="shared" si="28" ref="E48:E53">SUM(B48:D48)</f>
        <v>2613</v>
      </c>
      <c r="F48" s="305">
        <f>isk!D49</f>
        <v>355</v>
      </c>
      <c r="G48" s="305"/>
      <c r="H48" s="120">
        <f aca="true" t="shared" si="29" ref="H48:H53">SUM(F48:G48)</f>
        <v>355</v>
      </c>
      <c r="I48" s="117"/>
      <c r="J48" s="305">
        <f>teü!D57</f>
        <v>337</v>
      </c>
      <c r="K48" s="305"/>
      <c r="L48" s="305"/>
      <c r="M48" s="305"/>
      <c r="N48" s="305"/>
      <c r="O48" s="120">
        <f aca="true" t="shared" si="30" ref="O48:O53">SUM(I48:N48)</f>
        <v>337</v>
      </c>
      <c r="P48" s="330">
        <f>fsp!D64</f>
        <v>885</v>
      </c>
      <c r="Q48" s="305"/>
      <c r="R48" s="305">
        <f>fsp!D140</f>
        <v>364</v>
      </c>
      <c r="S48" s="305"/>
      <c r="T48" s="305"/>
      <c r="U48" s="305"/>
      <c r="V48" s="305"/>
      <c r="W48" s="305"/>
      <c r="X48" s="305"/>
      <c r="Y48" s="305"/>
      <c r="Z48" s="120">
        <f aca="true" t="shared" si="31" ref="Z48:Z53">SUM(P48:Y48)</f>
        <v>1249</v>
      </c>
      <c r="AA48" s="305">
        <f>iét!D103</f>
        <v>1760</v>
      </c>
      <c r="AB48" s="305">
        <f>AA48*iét!$D$226</f>
        <v>279.93341767842475</v>
      </c>
      <c r="AC48" s="305">
        <f>AA48*iét!$D$227</f>
        <v>857.4183163801956</v>
      </c>
      <c r="AD48" s="305">
        <f>AA48*iét!$D$228</f>
        <v>240.48910040503085</v>
      </c>
      <c r="AE48" s="305">
        <f>AA48*iét!$D$229</f>
        <v>382.1591655363487</v>
      </c>
      <c r="AF48" s="120">
        <f t="shared" si="5"/>
        <v>1760</v>
      </c>
      <c r="AG48" s="117"/>
      <c r="AH48" s="305">
        <f>elsz!D63</f>
        <v>507</v>
      </c>
      <c r="AI48" s="120">
        <f aca="true" t="shared" si="32" ref="AI48:AI53">SUM(AG48:AH48)</f>
        <v>507</v>
      </c>
      <c r="AJ48" s="346">
        <f aca="true" t="shared" si="33" ref="AJ48:AJ53">E48+H48+O48+Z48+AF48+AI48</f>
        <v>6821</v>
      </c>
    </row>
    <row r="49" spans="1:36" ht="12">
      <c r="A49" s="115" t="s">
        <v>1318</v>
      </c>
      <c r="B49" s="305">
        <f>hiv!D106</f>
        <v>141</v>
      </c>
      <c r="C49" s="305"/>
      <c r="D49" s="305">
        <f>körj!D58</f>
        <v>61</v>
      </c>
      <c r="E49" s="120">
        <f t="shared" si="28"/>
        <v>202</v>
      </c>
      <c r="F49" s="305">
        <f>isk!D52</f>
        <v>37</v>
      </c>
      <c r="G49" s="305"/>
      <c r="H49" s="120">
        <f t="shared" si="29"/>
        <v>37</v>
      </c>
      <c r="I49" s="117"/>
      <c r="J49" s="305">
        <f>teü!D59</f>
        <v>33</v>
      </c>
      <c r="K49" s="305"/>
      <c r="L49" s="305"/>
      <c r="M49" s="305"/>
      <c r="N49" s="305"/>
      <c r="O49" s="120">
        <f t="shared" si="30"/>
        <v>33</v>
      </c>
      <c r="P49" s="330">
        <f>fsp!D67</f>
        <v>91</v>
      </c>
      <c r="Q49" s="305"/>
      <c r="R49" s="305">
        <f>fsp!D143</f>
        <v>38</v>
      </c>
      <c r="S49" s="305"/>
      <c r="T49" s="305"/>
      <c r="U49" s="305"/>
      <c r="V49" s="305"/>
      <c r="W49" s="305"/>
      <c r="X49" s="305"/>
      <c r="Y49" s="305"/>
      <c r="Z49" s="120">
        <f t="shared" si="31"/>
        <v>129</v>
      </c>
      <c r="AA49" s="305">
        <f>iét!D106</f>
        <v>182</v>
      </c>
      <c r="AB49" s="305">
        <f>AA49*iét!$D$226</f>
        <v>28.947660237200736</v>
      </c>
      <c r="AC49" s="305">
        <f>AA49*iét!$D$227</f>
        <v>88.66484862567931</v>
      </c>
      <c r="AD49" s="305">
        <f>AA49*iét!$D$228</f>
        <v>24.868759246429327</v>
      </c>
      <c r="AE49" s="305">
        <f>AA49*iét!$D$229</f>
        <v>39.51873189069061</v>
      </c>
      <c r="AF49" s="120">
        <f t="shared" si="5"/>
        <v>182</v>
      </c>
      <c r="AG49" s="117"/>
      <c r="AH49" s="305">
        <f>elsz!D66</f>
        <v>52</v>
      </c>
      <c r="AI49" s="120">
        <f t="shared" si="32"/>
        <v>52</v>
      </c>
      <c r="AJ49" s="346">
        <f t="shared" si="33"/>
        <v>635</v>
      </c>
    </row>
    <row r="50" spans="1:36" ht="12">
      <c r="A50" s="115" t="s">
        <v>301</v>
      </c>
      <c r="B50" s="305">
        <f>hiv!D113</f>
        <v>302</v>
      </c>
      <c r="C50" s="305"/>
      <c r="D50" s="305">
        <f>körj!D63</f>
        <v>23</v>
      </c>
      <c r="E50" s="120">
        <f t="shared" si="28"/>
        <v>325</v>
      </c>
      <c r="F50" s="305">
        <f>isk!D57</f>
        <v>23</v>
      </c>
      <c r="G50" s="305"/>
      <c r="H50" s="120">
        <f t="shared" si="29"/>
        <v>23</v>
      </c>
      <c r="I50" s="117"/>
      <c r="J50" s="305">
        <f>teü!D66</f>
        <v>31</v>
      </c>
      <c r="K50" s="305"/>
      <c r="L50" s="305"/>
      <c r="M50" s="305"/>
      <c r="N50" s="305"/>
      <c r="O50" s="120">
        <f t="shared" si="30"/>
        <v>31</v>
      </c>
      <c r="P50" s="330">
        <f>fsp!D74</f>
        <v>89</v>
      </c>
      <c r="Q50" s="305"/>
      <c r="R50" s="305">
        <f>fsp!D150</f>
        <v>22</v>
      </c>
      <c r="S50" s="305"/>
      <c r="T50" s="305"/>
      <c r="U50" s="305"/>
      <c r="V50" s="305"/>
      <c r="W50" s="305"/>
      <c r="X50" s="305"/>
      <c r="Y50" s="305"/>
      <c r="Z50" s="120">
        <f t="shared" si="31"/>
        <v>111</v>
      </c>
      <c r="AA50" s="305">
        <f>iét!D111</f>
        <v>117</v>
      </c>
      <c r="AB50" s="305">
        <f>AA50*iét!$D$226</f>
        <v>18.609210152486188</v>
      </c>
      <c r="AC50" s="305">
        <f>AA50*iét!$D$227</f>
        <v>56.998831259365275</v>
      </c>
      <c r="AD50" s="305">
        <f>AA50*iét!$D$228</f>
        <v>15.987059515561711</v>
      </c>
      <c r="AE50" s="305">
        <f>AA50*iét!$D$229</f>
        <v>25.40489907258682</v>
      </c>
      <c r="AF50" s="120">
        <f t="shared" si="5"/>
        <v>116.99999999999999</v>
      </c>
      <c r="AG50" s="117"/>
      <c r="AH50" s="305">
        <f>elsz!D73</f>
        <v>23</v>
      </c>
      <c r="AI50" s="120">
        <f t="shared" si="32"/>
        <v>23</v>
      </c>
      <c r="AJ50" s="346">
        <f t="shared" si="33"/>
        <v>630</v>
      </c>
    </row>
    <row r="51" spans="1:36" ht="12">
      <c r="A51" s="115" t="s">
        <v>1274</v>
      </c>
      <c r="B51" s="117"/>
      <c r="C51" s="117"/>
      <c r="D51" s="305"/>
      <c r="E51" s="120">
        <f t="shared" si="28"/>
        <v>0</v>
      </c>
      <c r="F51" s="305"/>
      <c r="G51" s="305"/>
      <c r="H51" s="120">
        <f t="shared" si="29"/>
        <v>0</v>
      </c>
      <c r="I51" s="117"/>
      <c r="J51" s="305"/>
      <c r="K51" s="305"/>
      <c r="L51" s="305"/>
      <c r="M51" s="305"/>
      <c r="N51" s="305"/>
      <c r="O51" s="120">
        <f t="shared" si="30"/>
        <v>0</v>
      </c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120">
        <f t="shared" si="31"/>
        <v>0</v>
      </c>
      <c r="AA51" s="305"/>
      <c r="AB51" s="305">
        <f>AA51*iét!$D$226</f>
        <v>0</v>
      </c>
      <c r="AC51" s="305">
        <f>AA51*iét!$D$227</f>
        <v>0</v>
      </c>
      <c r="AD51" s="305">
        <f>AA51*iét!$D$228</f>
        <v>0</v>
      </c>
      <c r="AE51" s="305">
        <f>AA51*iét!$D$229</f>
        <v>0</v>
      </c>
      <c r="AF51" s="120">
        <f t="shared" si="5"/>
        <v>0</v>
      </c>
      <c r="AG51" s="117"/>
      <c r="AH51" s="305"/>
      <c r="AI51" s="120">
        <f t="shared" si="32"/>
        <v>0</v>
      </c>
      <c r="AJ51" s="346">
        <f t="shared" si="33"/>
        <v>0</v>
      </c>
    </row>
    <row r="52" spans="1:36" ht="12">
      <c r="A52" s="115" t="s">
        <v>1275</v>
      </c>
      <c r="B52" s="117"/>
      <c r="C52" s="117"/>
      <c r="D52" s="305"/>
      <c r="E52" s="120">
        <f t="shared" si="28"/>
        <v>0</v>
      </c>
      <c r="F52" s="305"/>
      <c r="G52" s="305"/>
      <c r="H52" s="120">
        <f t="shared" si="29"/>
        <v>0</v>
      </c>
      <c r="I52" s="117"/>
      <c r="J52" s="305"/>
      <c r="K52" s="305"/>
      <c r="L52" s="305"/>
      <c r="M52" s="305"/>
      <c r="N52" s="305"/>
      <c r="O52" s="120">
        <f t="shared" si="30"/>
        <v>0</v>
      </c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120">
        <f t="shared" si="31"/>
        <v>0</v>
      </c>
      <c r="AA52" s="305"/>
      <c r="AB52" s="305">
        <f>AA52*iét!$D$226</f>
        <v>0</v>
      </c>
      <c r="AC52" s="305">
        <f>AA52*iét!$D$227</f>
        <v>0</v>
      </c>
      <c r="AD52" s="305">
        <f>AA52*iét!$D$228</f>
        <v>0</v>
      </c>
      <c r="AE52" s="305">
        <f>AA52*iét!$D$229</f>
        <v>0</v>
      </c>
      <c r="AF52" s="120">
        <f t="shared" si="5"/>
        <v>0</v>
      </c>
      <c r="AG52" s="117"/>
      <c r="AH52" s="305"/>
      <c r="AI52" s="120">
        <f t="shared" si="32"/>
        <v>0</v>
      </c>
      <c r="AJ52" s="346">
        <f t="shared" si="33"/>
        <v>0</v>
      </c>
    </row>
    <row r="53" spans="1:36" ht="12">
      <c r="A53" s="115" t="s">
        <v>1276</v>
      </c>
      <c r="B53" s="117"/>
      <c r="C53" s="117"/>
      <c r="D53" s="305"/>
      <c r="E53" s="120">
        <f t="shared" si="28"/>
        <v>0</v>
      </c>
      <c r="F53" s="305"/>
      <c r="G53" s="305"/>
      <c r="H53" s="120">
        <f t="shared" si="29"/>
        <v>0</v>
      </c>
      <c r="I53" s="117"/>
      <c r="J53" s="305"/>
      <c r="K53" s="305"/>
      <c r="L53" s="305"/>
      <c r="M53" s="305"/>
      <c r="N53" s="305"/>
      <c r="O53" s="120">
        <f t="shared" si="30"/>
        <v>0</v>
      </c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120">
        <f t="shared" si="31"/>
        <v>0</v>
      </c>
      <c r="AA53" s="305"/>
      <c r="AB53" s="305">
        <f>AA53*iét!$D$226</f>
        <v>0</v>
      </c>
      <c r="AC53" s="305">
        <f>AA53*iét!$D$227</f>
        <v>0</v>
      </c>
      <c r="AD53" s="305">
        <f>AA53*iét!$D$228</f>
        <v>0</v>
      </c>
      <c r="AE53" s="305">
        <f>AA53*iét!$D$229</f>
        <v>0</v>
      </c>
      <c r="AF53" s="120">
        <f t="shared" si="5"/>
        <v>0</v>
      </c>
      <c r="AG53" s="117"/>
      <c r="AH53" s="305"/>
      <c r="AI53" s="120">
        <f t="shared" si="32"/>
        <v>0</v>
      </c>
      <c r="AJ53" s="346">
        <f t="shared" si="33"/>
        <v>0</v>
      </c>
    </row>
    <row r="54" spans="1:36" ht="12">
      <c r="A54" s="125" t="s">
        <v>1277</v>
      </c>
      <c r="B54" s="306">
        <f aca="true" t="shared" si="34" ref="B54:AJ54">SUM(B48:B53)</f>
        <v>2469</v>
      </c>
      <c r="C54" s="126"/>
      <c r="D54" s="306">
        <f t="shared" si="34"/>
        <v>671</v>
      </c>
      <c r="E54" s="126">
        <f t="shared" si="34"/>
        <v>3140</v>
      </c>
      <c r="F54" s="306">
        <f t="shared" si="34"/>
        <v>415</v>
      </c>
      <c r="G54" s="306">
        <f t="shared" si="34"/>
        <v>0</v>
      </c>
      <c r="H54" s="126">
        <f t="shared" si="34"/>
        <v>415</v>
      </c>
      <c r="I54" s="126">
        <f t="shared" si="34"/>
        <v>0</v>
      </c>
      <c r="J54" s="306">
        <f t="shared" si="34"/>
        <v>401</v>
      </c>
      <c r="K54" s="306">
        <f t="shared" si="34"/>
        <v>0</v>
      </c>
      <c r="L54" s="306">
        <f t="shared" si="34"/>
        <v>0</v>
      </c>
      <c r="M54" s="306">
        <f t="shared" si="34"/>
        <v>0</v>
      </c>
      <c r="N54" s="306">
        <f t="shared" si="34"/>
        <v>0</v>
      </c>
      <c r="O54" s="126">
        <f t="shared" si="34"/>
        <v>401</v>
      </c>
      <c r="P54" s="306">
        <f t="shared" si="34"/>
        <v>1065</v>
      </c>
      <c r="Q54" s="306">
        <f t="shared" si="34"/>
        <v>0</v>
      </c>
      <c r="R54" s="306">
        <f t="shared" si="34"/>
        <v>424</v>
      </c>
      <c r="S54" s="306">
        <f t="shared" si="34"/>
        <v>0</v>
      </c>
      <c r="T54" s="306">
        <f>SUM(T48:T53)</f>
        <v>0</v>
      </c>
      <c r="U54" s="306">
        <f>SUM(U48:U53)</f>
        <v>0</v>
      </c>
      <c r="V54" s="306">
        <f>SUM(V48:V53)</f>
        <v>0</v>
      </c>
      <c r="W54" s="306"/>
      <c r="X54" s="306"/>
      <c r="Y54" s="306">
        <f>SUM(Y48:Y53)</f>
        <v>0</v>
      </c>
      <c r="Z54" s="126">
        <f t="shared" si="34"/>
        <v>1489</v>
      </c>
      <c r="AA54" s="306">
        <f t="shared" si="34"/>
        <v>2059</v>
      </c>
      <c r="AB54" s="306">
        <f t="shared" si="34"/>
        <v>327.4902880681117</v>
      </c>
      <c r="AC54" s="306">
        <f t="shared" si="34"/>
        <v>1003.0819962652402</v>
      </c>
      <c r="AD54" s="306">
        <f t="shared" si="34"/>
        <v>281.3449191670219</v>
      </c>
      <c r="AE54" s="306">
        <f>SUM(AE48:AE53)</f>
        <v>447.08279649962617</v>
      </c>
      <c r="AF54" s="126">
        <f>SUM(AF48:AF53)</f>
        <v>2059</v>
      </c>
      <c r="AG54" s="126">
        <f t="shared" si="34"/>
        <v>0</v>
      </c>
      <c r="AH54" s="306">
        <f t="shared" si="34"/>
        <v>582</v>
      </c>
      <c r="AI54" s="126">
        <f t="shared" si="34"/>
        <v>582</v>
      </c>
      <c r="AJ54" s="306">
        <f t="shared" si="34"/>
        <v>8086</v>
      </c>
    </row>
    <row r="55" spans="1:36" ht="12">
      <c r="A55" s="115" t="s">
        <v>1278</v>
      </c>
      <c r="B55" s="117">
        <v>0</v>
      </c>
      <c r="C55" s="117"/>
      <c r="D55" s="305"/>
      <c r="E55" s="120">
        <f aca="true" t="shared" si="35" ref="E55:E66">SUM(B55:D55)</f>
        <v>0</v>
      </c>
      <c r="F55" s="305"/>
      <c r="G55" s="305"/>
      <c r="H55" s="120">
        <f aca="true" t="shared" si="36" ref="H55:H66">SUM(F55:G55)</f>
        <v>0</v>
      </c>
      <c r="I55" s="117"/>
      <c r="J55" s="305"/>
      <c r="K55" s="305"/>
      <c r="L55" s="305"/>
      <c r="M55" s="305"/>
      <c r="N55" s="305"/>
      <c r="O55" s="120">
        <f>SUM(I55:N55)</f>
        <v>0</v>
      </c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120">
        <f>SUM(P55:Y55)</f>
        <v>0</v>
      </c>
      <c r="AA55" s="305">
        <f>iét!$D$181</f>
        <v>5300</v>
      </c>
      <c r="AB55" s="305">
        <f>AA55*iét!$D$226</f>
        <v>842.9813145998017</v>
      </c>
      <c r="AC55" s="305">
        <f>AA55*iét!$D$227</f>
        <v>2581.9983390994526</v>
      </c>
      <c r="AD55" s="305">
        <f>AA55*iét!$D$228</f>
        <v>724.2001319015134</v>
      </c>
      <c r="AE55" s="305">
        <f>AA55*iét!$D$229</f>
        <v>1150.8202143992319</v>
      </c>
      <c r="AF55" s="120">
        <f>SUM(AB55:AE55)</f>
        <v>5300</v>
      </c>
      <c r="AG55" s="117"/>
      <c r="AH55" s="305"/>
      <c r="AI55" s="120">
        <f aca="true" t="shared" si="37" ref="AI55:AI66">SUM(AG55:AH55)</f>
        <v>0</v>
      </c>
      <c r="AJ55" s="346">
        <f>E55+H55+O55+Z55+AF55+AI55</f>
        <v>5300</v>
      </c>
    </row>
    <row r="56" spans="1:36" ht="12">
      <c r="A56" s="115" t="s">
        <v>1279</v>
      </c>
      <c r="B56" s="117"/>
      <c r="C56" s="117"/>
      <c r="D56" s="305"/>
      <c r="E56" s="120">
        <f t="shared" si="35"/>
        <v>0</v>
      </c>
      <c r="F56" s="305"/>
      <c r="G56" s="305">
        <v>8</v>
      </c>
      <c r="H56" s="120">
        <f t="shared" si="36"/>
        <v>8</v>
      </c>
      <c r="I56" s="117"/>
      <c r="J56" s="305"/>
      <c r="K56" s="305"/>
      <c r="L56" s="305"/>
      <c r="M56" s="305"/>
      <c r="N56" s="305"/>
      <c r="O56" s="120">
        <f aca="true" t="shared" si="38" ref="O56:O92">SUM(I56:N56)</f>
        <v>0</v>
      </c>
      <c r="P56" s="305"/>
      <c r="Q56" s="305"/>
      <c r="R56" s="305">
        <f>fsp!$D$158</f>
        <v>10</v>
      </c>
      <c r="S56" s="305"/>
      <c r="T56" s="305"/>
      <c r="U56" s="305"/>
      <c r="V56" s="305"/>
      <c r="W56" s="305"/>
      <c r="X56" s="305"/>
      <c r="Y56" s="305"/>
      <c r="Z56" s="120">
        <f aca="true" t="shared" si="39" ref="Z56:Z101">SUM(P56:Y56)</f>
        <v>10</v>
      </c>
      <c r="AA56" s="305"/>
      <c r="AB56" s="305">
        <f>AA56*iét!$D$226</f>
        <v>0</v>
      </c>
      <c r="AC56" s="305">
        <f>AA56*iét!$D$227</f>
        <v>0</v>
      </c>
      <c r="AD56" s="305">
        <f>AA56*iét!$D$228</f>
        <v>0</v>
      </c>
      <c r="AE56" s="305">
        <f>AA56*iét!$D$229</f>
        <v>0</v>
      </c>
      <c r="AF56" s="120">
        <f t="shared" si="5"/>
        <v>0</v>
      </c>
      <c r="AG56" s="117"/>
      <c r="AH56" s="305"/>
      <c r="AI56" s="120">
        <f t="shared" si="37"/>
        <v>0</v>
      </c>
      <c r="AJ56" s="346">
        <f aca="true" t="shared" si="40" ref="AJ56:AJ104">E56+H56+O56+Z56+AF56+AI56</f>
        <v>18</v>
      </c>
    </row>
    <row r="57" spans="1:36" ht="12">
      <c r="A57" s="115" t="s">
        <v>1280</v>
      </c>
      <c r="B57" s="305">
        <f>hiv!D120</f>
        <v>343</v>
      </c>
      <c r="C57" s="117"/>
      <c r="D57" s="305"/>
      <c r="E57" s="120">
        <f t="shared" si="35"/>
        <v>343</v>
      </c>
      <c r="F57" s="305">
        <v>72</v>
      </c>
      <c r="G57" s="305"/>
      <c r="H57" s="120">
        <f t="shared" si="36"/>
        <v>72</v>
      </c>
      <c r="I57" s="117"/>
      <c r="J57" s="305"/>
      <c r="K57" s="305"/>
      <c r="L57" s="305"/>
      <c r="M57" s="305"/>
      <c r="N57" s="305"/>
      <c r="O57" s="120">
        <f t="shared" si="38"/>
        <v>0</v>
      </c>
      <c r="P57" s="305"/>
      <c r="Q57" s="305"/>
      <c r="R57" s="305">
        <f>fsp!$D$160</f>
        <v>10</v>
      </c>
      <c r="S57" s="305"/>
      <c r="T57" s="305"/>
      <c r="U57" s="305"/>
      <c r="V57" s="305"/>
      <c r="W57" s="305"/>
      <c r="X57" s="305"/>
      <c r="Y57" s="305"/>
      <c r="Z57" s="120">
        <f t="shared" si="39"/>
        <v>10</v>
      </c>
      <c r="AA57" s="305">
        <f>iét!$D$182</f>
        <v>50</v>
      </c>
      <c r="AB57" s="305">
        <f>AA57*iét!$D$226</f>
        <v>7.952653911318884</v>
      </c>
      <c r="AC57" s="305">
        <f>AA57*iét!$D$227</f>
        <v>24.358474897164648</v>
      </c>
      <c r="AD57" s="305">
        <f>AA57*iét!$D$228</f>
        <v>6.832076716052013</v>
      </c>
      <c r="AE57" s="305">
        <f>AA57*iét!$D$229</f>
        <v>10.856794475464453</v>
      </c>
      <c r="AF57" s="120">
        <f t="shared" si="5"/>
        <v>50</v>
      </c>
      <c r="AG57" s="117"/>
      <c r="AH57" s="305">
        <f>elsz!$D$81</f>
        <v>5</v>
      </c>
      <c r="AI57" s="120">
        <f t="shared" si="37"/>
        <v>5</v>
      </c>
      <c r="AJ57" s="346">
        <f t="shared" si="40"/>
        <v>480</v>
      </c>
    </row>
    <row r="58" spans="1:36" ht="12">
      <c r="A58" s="115" t="s">
        <v>1150</v>
      </c>
      <c r="B58" s="305">
        <f>hiv!D121</f>
        <v>10</v>
      </c>
      <c r="C58" s="117"/>
      <c r="D58" s="305"/>
      <c r="E58" s="120">
        <f t="shared" si="35"/>
        <v>10</v>
      </c>
      <c r="F58" s="305"/>
      <c r="G58" s="305">
        <v>5</v>
      </c>
      <c r="H58" s="120">
        <f t="shared" si="36"/>
        <v>5</v>
      </c>
      <c r="I58" s="117"/>
      <c r="J58" s="305"/>
      <c r="K58" s="305"/>
      <c r="L58" s="305"/>
      <c r="M58" s="305"/>
      <c r="N58" s="305"/>
      <c r="O58" s="120">
        <f t="shared" si="38"/>
        <v>0</v>
      </c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120">
        <f t="shared" si="39"/>
        <v>0</v>
      </c>
      <c r="AA58" s="305">
        <f>iét!$D$183</f>
        <v>0</v>
      </c>
      <c r="AB58" s="305">
        <f>AA58*iét!$D$226</f>
        <v>0</v>
      </c>
      <c r="AC58" s="305">
        <f>AA58*iét!$D$227</f>
        <v>0</v>
      </c>
      <c r="AD58" s="305">
        <f>AA58*iét!$D$228</f>
        <v>0</v>
      </c>
      <c r="AE58" s="305">
        <f>AA58*iét!$D$229</f>
        <v>0</v>
      </c>
      <c r="AF58" s="120">
        <f t="shared" si="5"/>
        <v>0</v>
      </c>
      <c r="AG58" s="117"/>
      <c r="AH58" s="305">
        <f>elsz!$D$82</f>
        <v>10</v>
      </c>
      <c r="AI58" s="120">
        <f t="shared" si="37"/>
        <v>10</v>
      </c>
      <c r="AJ58" s="346">
        <f t="shared" si="40"/>
        <v>25</v>
      </c>
    </row>
    <row r="59" spans="1:36" ht="12">
      <c r="A59" s="115" t="s">
        <v>1151</v>
      </c>
      <c r="B59" s="305">
        <f>hiv!D122</f>
        <v>1000</v>
      </c>
      <c r="C59" s="117"/>
      <c r="D59" s="305"/>
      <c r="E59" s="120">
        <f t="shared" si="35"/>
        <v>1000</v>
      </c>
      <c r="F59" s="305"/>
      <c r="G59" s="305">
        <v>24</v>
      </c>
      <c r="H59" s="120">
        <f t="shared" si="36"/>
        <v>24</v>
      </c>
      <c r="I59" s="117"/>
      <c r="J59" s="305"/>
      <c r="K59" s="305"/>
      <c r="L59" s="305"/>
      <c r="M59" s="305"/>
      <c r="N59" s="305"/>
      <c r="O59" s="120">
        <f t="shared" si="38"/>
        <v>0</v>
      </c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120">
        <f t="shared" si="39"/>
        <v>0</v>
      </c>
      <c r="AA59" s="305"/>
      <c r="AB59" s="305">
        <f>AA59*iét!$D$226</f>
        <v>0</v>
      </c>
      <c r="AC59" s="305">
        <f>AA59*iét!$D$227</f>
        <v>0</v>
      </c>
      <c r="AD59" s="305">
        <f>AA59*iét!$D$228</f>
        <v>0</v>
      </c>
      <c r="AE59" s="305">
        <f>AA59*iét!$D$229</f>
        <v>0</v>
      </c>
      <c r="AF59" s="120">
        <f t="shared" si="5"/>
        <v>0</v>
      </c>
      <c r="AG59" s="117"/>
      <c r="AH59" s="305">
        <f>elsz!$D$83</f>
        <v>5</v>
      </c>
      <c r="AI59" s="120">
        <f t="shared" si="37"/>
        <v>5</v>
      </c>
      <c r="AJ59" s="346">
        <f t="shared" si="40"/>
        <v>1029</v>
      </c>
    </row>
    <row r="60" spans="1:36" ht="12">
      <c r="A60" s="115" t="s">
        <v>1152</v>
      </c>
      <c r="B60" s="305">
        <f>hiv!D123</f>
        <v>96</v>
      </c>
      <c r="C60" s="117"/>
      <c r="D60" s="305"/>
      <c r="E60" s="120">
        <f t="shared" si="35"/>
        <v>96</v>
      </c>
      <c r="F60" s="305"/>
      <c r="G60" s="305"/>
      <c r="H60" s="120">
        <f t="shared" si="36"/>
        <v>0</v>
      </c>
      <c r="I60" s="117"/>
      <c r="J60" s="305"/>
      <c r="K60" s="305"/>
      <c r="L60" s="305"/>
      <c r="M60" s="305"/>
      <c r="N60" s="305"/>
      <c r="O60" s="120">
        <f t="shared" si="38"/>
        <v>0</v>
      </c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120">
        <f t="shared" si="39"/>
        <v>0</v>
      </c>
      <c r="AA60" s="305"/>
      <c r="AB60" s="305">
        <f>AA60*iét!$D$226</f>
        <v>0</v>
      </c>
      <c r="AC60" s="305">
        <f>AA60*iét!$D$227</f>
        <v>0</v>
      </c>
      <c r="AD60" s="305">
        <f>AA60*iét!$D$228</f>
        <v>0</v>
      </c>
      <c r="AE60" s="305">
        <f>AA60*iét!$D$229</f>
        <v>0</v>
      </c>
      <c r="AF60" s="120">
        <f t="shared" si="5"/>
        <v>0</v>
      </c>
      <c r="AG60" s="117"/>
      <c r="AH60" s="305">
        <f>elsz!$D$84</f>
        <v>5</v>
      </c>
      <c r="AI60" s="120">
        <f t="shared" si="37"/>
        <v>5</v>
      </c>
      <c r="AJ60" s="346">
        <f t="shared" si="40"/>
        <v>101</v>
      </c>
    </row>
    <row r="61" spans="1:36" ht="12">
      <c r="A61" s="115" t="s">
        <v>1281</v>
      </c>
      <c r="B61" s="117">
        <f>hiv!D124</f>
        <v>0</v>
      </c>
      <c r="C61" s="117"/>
      <c r="D61" s="305"/>
      <c r="E61" s="120">
        <f t="shared" si="35"/>
        <v>0</v>
      </c>
      <c r="F61" s="305"/>
      <c r="G61" s="305"/>
      <c r="H61" s="120">
        <f t="shared" si="36"/>
        <v>0</v>
      </c>
      <c r="I61" s="117"/>
      <c r="J61" s="305"/>
      <c r="K61" s="305"/>
      <c r="L61" s="305"/>
      <c r="M61" s="305"/>
      <c r="N61" s="305"/>
      <c r="O61" s="120">
        <f t="shared" si="38"/>
        <v>0</v>
      </c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120">
        <f t="shared" si="39"/>
        <v>0</v>
      </c>
      <c r="AA61" s="305">
        <f>iét!$D$184</f>
        <v>0</v>
      </c>
      <c r="AB61" s="305">
        <f>AA61*iét!$D$226</f>
        <v>0</v>
      </c>
      <c r="AC61" s="305">
        <f>AA61*iét!$D$227</f>
        <v>0</v>
      </c>
      <c r="AD61" s="305">
        <f>AA61*iét!$D$228</f>
        <v>0</v>
      </c>
      <c r="AE61" s="305">
        <f>AA61*iét!$D$229</f>
        <v>0</v>
      </c>
      <c r="AF61" s="120">
        <f t="shared" si="5"/>
        <v>0</v>
      </c>
      <c r="AG61" s="117"/>
      <c r="AH61" s="305"/>
      <c r="AI61" s="120">
        <f t="shared" si="37"/>
        <v>0</v>
      </c>
      <c r="AJ61" s="131">
        <f t="shared" si="40"/>
        <v>0</v>
      </c>
    </row>
    <row r="62" spans="1:36" ht="12">
      <c r="A62" s="115" t="s">
        <v>1282</v>
      </c>
      <c r="B62" s="117"/>
      <c r="C62" s="117"/>
      <c r="D62" s="305"/>
      <c r="E62" s="120">
        <f t="shared" si="35"/>
        <v>0</v>
      </c>
      <c r="F62" s="305">
        <f>isk!D64</f>
        <v>0</v>
      </c>
      <c r="G62" s="305"/>
      <c r="H62" s="120">
        <f t="shared" si="36"/>
        <v>0</v>
      </c>
      <c r="I62" s="117"/>
      <c r="J62" s="305">
        <f>teü!$D$72</f>
        <v>40</v>
      </c>
      <c r="K62" s="305">
        <f>teü!$D$121</f>
        <v>5</v>
      </c>
      <c r="L62" s="305"/>
      <c r="M62" s="305"/>
      <c r="N62" s="305"/>
      <c r="O62" s="120">
        <f t="shared" si="38"/>
        <v>45</v>
      </c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120">
        <f t="shared" si="39"/>
        <v>0</v>
      </c>
      <c r="AA62" s="305"/>
      <c r="AB62" s="305">
        <f>AA62*iét!$D$226</f>
        <v>0</v>
      </c>
      <c r="AC62" s="305">
        <f>AA62*iét!$D$227</f>
        <v>0</v>
      </c>
      <c r="AD62" s="305">
        <f>AA62*iét!$D$228</f>
        <v>0</v>
      </c>
      <c r="AE62" s="305">
        <f>AA62*iét!$D$229</f>
        <v>0</v>
      </c>
      <c r="AF62" s="120">
        <f t="shared" si="5"/>
        <v>0</v>
      </c>
      <c r="AG62" s="117"/>
      <c r="AH62" s="305"/>
      <c r="AI62" s="120">
        <f t="shared" si="37"/>
        <v>0</v>
      </c>
      <c r="AJ62" s="346">
        <f t="shared" si="40"/>
        <v>45</v>
      </c>
    </row>
    <row r="63" spans="1:36" ht="12">
      <c r="A63" s="115" t="s">
        <v>1153</v>
      </c>
      <c r="B63" s="117">
        <f>hiv!D125</f>
        <v>0</v>
      </c>
      <c r="C63" s="117"/>
      <c r="D63" s="305"/>
      <c r="E63" s="120">
        <f t="shared" si="35"/>
        <v>0</v>
      </c>
      <c r="F63" s="305"/>
      <c r="G63" s="305"/>
      <c r="H63" s="120">
        <f t="shared" si="36"/>
        <v>0</v>
      </c>
      <c r="I63" s="117"/>
      <c r="J63" s="305"/>
      <c r="K63" s="305"/>
      <c r="L63" s="305"/>
      <c r="M63" s="305"/>
      <c r="N63" s="305"/>
      <c r="O63" s="120">
        <f t="shared" si="38"/>
        <v>0</v>
      </c>
      <c r="P63" s="305"/>
      <c r="Q63" s="305"/>
      <c r="R63" s="305">
        <f>fsp!$D$161</f>
        <v>5</v>
      </c>
      <c r="S63" s="305"/>
      <c r="T63" s="305"/>
      <c r="U63" s="305"/>
      <c r="V63" s="305"/>
      <c r="W63" s="305"/>
      <c r="X63" s="305"/>
      <c r="Y63" s="305"/>
      <c r="Z63" s="120">
        <f t="shared" si="39"/>
        <v>5</v>
      </c>
      <c r="AA63" s="305">
        <f>iét!$D$185</f>
        <v>0</v>
      </c>
      <c r="AB63" s="305">
        <f>AA63*iét!$D$226</f>
        <v>0</v>
      </c>
      <c r="AC63" s="305">
        <f>AA63*iét!$D$227</f>
        <v>0</v>
      </c>
      <c r="AD63" s="305">
        <f>AA63*iét!$D$228</f>
        <v>0</v>
      </c>
      <c r="AE63" s="305">
        <f>AA63*iét!$D$229</f>
        <v>0</v>
      </c>
      <c r="AF63" s="120">
        <f t="shared" si="5"/>
        <v>0</v>
      </c>
      <c r="AG63" s="117"/>
      <c r="AH63" s="305"/>
      <c r="AI63" s="120">
        <f t="shared" si="37"/>
        <v>0</v>
      </c>
      <c r="AJ63" s="346">
        <f t="shared" si="40"/>
        <v>5</v>
      </c>
    </row>
    <row r="64" spans="1:36" ht="12">
      <c r="A64" s="115" t="s">
        <v>1154</v>
      </c>
      <c r="B64" s="117">
        <f>hiv!D126</f>
        <v>0</v>
      </c>
      <c r="C64" s="117"/>
      <c r="D64" s="305"/>
      <c r="E64" s="120">
        <f t="shared" si="35"/>
        <v>0</v>
      </c>
      <c r="F64" s="305">
        <f>isk!D66</f>
        <v>5</v>
      </c>
      <c r="G64" s="305"/>
      <c r="H64" s="120">
        <f t="shared" si="36"/>
        <v>5</v>
      </c>
      <c r="I64" s="117"/>
      <c r="J64" s="305"/>
      <c r="K64" s="305"/>
      <c r="L64" s="305"/>
      <c r="M64" s="305"/>
      <c r="N64" s="305"/>
      <c r="O64" s="120">
        <f t="shared" si="38"/>
        <v>0</v>
      </c>
      <c r="P64" s="305"/>
      <c r="Q64" s="305"/>
      <c r="R64" s="305">
        <f>fsp!$D$162</f>
        <v>10</v>
      </c>
      <c r="S64" s="305"/>
      <c r="T64" s="305"/>
      <c r="U64" s="305"/>
      <c r="V64" s="305"/>
      <c r="W64" s="305"/>
      <c r="X64" s="305"/>
      <c r="Y64" s="305"/>
      <c r="Z64" s="120">
        <f t="shared" si="39"/>
        <v>10</v>
      </c>
      <c r="AA64" s="305">
        <f>iét!$D$186</f>
        <v>0</v>
      </c>
      <c r="AB64" s="305">
        <f>AA64*iét!$D$226</f>
        <v>0</v>
      </c>
      <c r="AC64" s="305">
        <f>AA64*iét!$D$227</f>
        <v>0</v>
      </c>
      <c r="AD64" s="305">
        <f>AA64*iét!$D$228</f>
        <v>0</v>
      </c>
      <c r="AE64" s="305">
        <f>AA64*iét!$D$229</f>
        <v>0</v>
      </c>
      <c r="AF64" s="120">
        <f t="shared" si="5"/>
        <v>0</v>
      </c>
      <c r="AG64" s="117"/>
      <c r="AH64" s="305">
        <f>elsz!D86</f>
        <v>15</v>
      </c>
      <c r="AI64" s="120">
        <f t="shared" si="37"/>
        <v>15</v>
      </c>
      <c r="AJ64" s="346">
        <f t="shared" si="40"/>
        <v>30</v>
      </c>
    </row>
    <row r="65" spans="1:36" ht="12">
      <c r="A65" s="115" t="s">
        <v>1283</v>
      </c>
      <c r="B65" s="117"/>
      <c r="C65" s="117"/>
      <c r="D65" s="305"/>
      <c r="E65" s="120">
        <f t="shared" si="35"/>
        <v>0</v>
      </c>
      <c r="F65" s="305">
        <f>isk!D67</f>
        <v>0</v>
      </c>
      <c r="G65" s="305"/>
      <c r="H65" s="120">
        <f t="shared" si="36"/>
        <v>0</v>
      </c>
      <c r="I65" s="117"/>
      <c r="J65" s="305">
        <f>teü!D73</f>
        <v>0</v>
      </c>
      <c r="K65" s="305"/>
      <c r="L65" s="305"/>
      <c r="M65" s="305"/>
      <c r="N65" s="305"/>
      <c r="O65" s="120">
        <f t="shared" si="38"/>
        <v>0</v>
      </c>
      <c r="P65" s="305"/>
      <c r="Q65" s="305"/>
      <c r="R65" s="305">
        <f>fsp!$D$163</f>
        <v>0</v>
      </c>
      <c r="S65" s="305"/>
      <c r="T65" s="305"/>
      <c r="U65" s="305"/>
      <c r="V65" s="305"/>
      <c r="W65" s="305"/>
      <c r="X65" s="305"/>
      <c r="Y65" s="305"/>
      <c r="Z65" s="120">
        <f t="shared" si="39"/>
        <v>0</v>
      </c>
      <c r="AA65" s="305">
        <f>iét!$D$187</f>
        <v>0</v>
      </c>
      <c r="AB65" s="305">
        <f>AA65*iét!$D$226</f>
        <v>0</v>
      </c>
      <c r="AC65" s="305">
        <f>AA65*iét!$D$227</f>
        <v>0</v>
      </c>
      <c r="AD65" s="305">
        <f>AA65*iét!$D$228</f>
        <v>0</v>
      </c>
      <c r="AE65" s="305">
        <f>AA65*iét!$D$229</f>
        <v>0</v>
      </c>
      <c r="AF65" s="120">
        <f t="shared" si="5"/>
        <v>0</v>
      </c>
      <c r="AG65" s="117"/>
      <c r="AH65" s="305"/>
      <c r="AI65" s="120">
        <f t="shared" si="37"/>
        <v>0</v>
      </c>
      <c r="AJ65" s="346">
        <f t="shared" si="40"/>
        <v>0</v>
      </c>
    </row>
    <row r="66" spans="1:36" ht="12">
      <c r="A66" s="115" t="s">
        <v>1284</v>
      </c>
      <c r="B66" s="305">
        <f>hiv!D127</f>
        <v>20</v>
      </c>
      <c r="C66" s="117"/>
      <c r="D66" s="305"/>
      <c r="E66" s="120">
        <f t="shared" si="35"/>
        <v>20</v>
      </c>
      <c r="F66" s="305">
        <f>isk!D68</f>
        <v>50</v>
      </c>
      <c r="G66" s="305">
        <f>isk!D117</f>
        <v>0</v>
      </c>
      <c r="H66" s="120">
        <f t="shared" si="36"/>
        <v>50</v>
      </c>
      <c r="I66" s="117"/>
      <c r="J66" s="305">
        <f>teü!$D$74</f>
        <v>4</v>
      </c>
      <c r="K66" s="305">
        <f>teü!$D$122</f>
        <v>15</v>
      </c>
      <c r="L66" s="305"/>
      <c r="M66" s="305"/>
      <c r="N66" s="305"/>
      <c r="O66" s="120">
        <f t="shared" si="38"/>
        <v>19</v>
      </c>
      <c r="P66" s="305"/>
      <c r="Q66" s="305"/>
      <c r="R66" s="305">
        <f>fsp!$D$164</f>
        <v>10</v>
      </c>
      <c r="S66" s="305"/>
      <c r="T66" s="305"/>
      <c r="U66" s="305"/>
      <c r="V66" s="305"/>
      <c r="W66" s="305"/>
      <c r="X66" s="305"/>
      <c r="Y66" s="305"/>
      <c r="Z66" s="120">
        <f t="shared" si="39"/>
        <v>10</v>
      </c>
      <c r="AA66" s="305">
        <f>iét!$D$188</f>
        <v>1000</v>
      </c>
      <c r="AB66" s="305">
        <f>AA66*iét!$D$226</f>
        <v>159.0530782263777</v>
      </c>
      <c r="AC66" s="305">
        <f>AA66*iét!$D$227</f>
        <v>487.1694979432929</v>
      </c>
      <c r="AD66" s="305">
        <f>AA66*iét!$D$228</f>
        <v>136.64153432104027</v>
      </c>
      <c r="AE66" s="305">
        <f>AA66*iét!$D$229</f>
        <v>217.13588950928906</v>
      </c>
      <c r="AF66" s="120">
        <f t="shared" si="5"/>
        <v>1000</v>
      </c>
      <c r="AG66" s="117"/>
      <c r="AH66" s="305">
        <f>elsz!$D$87</f>
        <v>60</v>
      </c>
      <c r="AI66" s="120">
        <f t="shared" si="37"/>
        <v>60</v>
      </c>
      <c r="AJ66" s="346">
        <f t="shared" si="40"/>
        <v>1159</v>
      </c>
    </row>
    <row r="67" spans="1:36" ht="12">
      <c r="A67" s="121" t="s">
        <v>1286</v>
      </c>
      <c r="B67" s="307">
        <f aca="true" t="shared" si="41" ref="B67:AI67">SUM(B55:B66)</f>
        <v>1469</v>
      </c>
      <c r="C67" s="122"/>
      <c r="D67" s="307">
        <f t="shared" si="41"/>
        <v>0</v>
      </c>
      <c r="E67" s="122">
        <f t="shared" si="41"/>
        <v>1469</v>
      </c>
      <c r="F67" s="307">
        <f>SUM(F55:F66)</f>
        <v>127</v>
      </c>
      <c r="G67" s="307">
        <f t="shared" si="41"/>
        <v>37</v>
      </c>
      <c r="H67" s="122">
        <f t="shared" si="41"/>
        <v>164</v>
      </c>
      <c r="I67" s="122">
        <f t="shared" si="41"/>
        <v>0</v>
      </c>
      <c r="J67" s="307">
        <f t="shared" si="41"/>
        <v>44</v>
      </c>
      <c r="K67" s="307">
        <f t="shared" si="41"/>
        <v>20</v>
      </c>
      <c r="L67" s="307">
        <f t="shared" si="41"/>
        <v>0</v>
      </c>
      <c r="M67" s="307">
        <f t="shared" si="41"/>
        <v>0</v>
      </c>
      <c r="N67" s="307">
        <f t="shared" si="41"/>
        <v>0</v>
      </c>
      <c r="O67" s="122">
        <f t="shared" si="41"/>
        <v>64</v>
      </c>
      <c r="P67" s="307">
        <f t="shared" si="41"/>
        <v>0</v>
      </c>
      <c r="Q67" s="307">
        <f t="shared" si="41"/>
        <v>0</v>
      </c>
      <c r="R67" s="307">
        <f t="shared" si="41"/>
        <v>45</v>
      </c>
      <c r="S67" s="307">
        <f t="shared" si="41"/>
        <v>0</v>
      </c>
      <c r="T67" s="307">
        <f>SUM(T55:T66)</f>
        <v>0</v>
      </c>
      <c r="U67" s="307">
        <f>SUM(U55:U66)</f>
        <v>0</v>
      </c>
      <c r="V67" s="307">
        <f>SUM(V55:V66)</f>
        <v>0</v>
      </c>
      <c r="W67" s="307"/>
      <c r="X67" s="307"/>
      <c r="Y67" s="307">
        <f>SUM(Y55:Y66)</f>
        <v>0</v>
      </c>
      <c r="Z67" s="122">
        <f t="shared" si="41"/>
        <v>45</v>
      </c>
      <c r="AA67" s="307">
        <f t="shared" si="41"/>
        <v>6350</v>
      </c>
      <c r="AB67" s="307">
        <f t="shared" si="41"/>
        <v>1009.9870467374983</v>
      </c>
      <c r="AC67" s="307">
        <f t="shared" si="41"/>
        <v>3093.52631193991</v>
      </c>
      <c r="AD67" s="307">
        <f t="shared" si="41"/>
        <v>867.6737429386056</v>
      </c>
      <c r="AE67" s="307">
        <f>SUM(AE55:AE66)</f>
        <v>1378.8128983839854</v>
      </c>
      <c r="AF67" s="122">
        <f>SUM(AF55:AF66)</f>
        <v>6350</v>
      </c>
      <c r="AG67" s="122">
        <f t="shared" si="41"/>
        <v>0</v>
      </c>
      <c r="AH67" s="307">
        <f t="shared" si="41"/>
        <v>100</v>
      </c>
      <c r="AI67" s="122">
        <f t="shared" si="41"/>
        <v>100</v>
      </c>
      <c r="AJ67" s="307">
        <f>SUM(AJ55:AJ66)</f>
        <v>8192</v>
      </c>
    </row>
    <row r="68" spans="1:36" ht="12">
      <c r="A68" s="115" t="s">
        <v>1287</v>
      </c>
      <c r="B68" s="305">
        <f>hiv!D131</f>
        <v>613</v>
      </c>
      <c r="C68" s="117"/>
      <c r="D68" s="305"/>
      <c r="E68" s="120">
        <f>SUM(B68:D68)</f>
        <v>613</v>
      </c>
      <c r="F68" s="305">
        <v>160</v>
      </c>
      <c r="G68" s="305"/>
      <c r="H68" s="120">
        <f>SUM(F68:G68)</f>
        <v>160</v>
      </c>
      <c r="I68" s="117"/>
      <c r="J68" s="305"/>
      <c r="K68" s="305"/>
      <c r="L68" s="305"/>
      <c r="M68" s="305"/>
      <c r="N68" s="305"/>
      <c r="O68" s="120">
        <f t="shared" si="38"/>
        <v>0</v>
      </c>
      <c r="P68" s="305"/>
      <c r="Q68" s="305"/>
      <c r="R68" s="305">
        <f>fsp!$D$169</f>
        <v>45</v>
      </c>
      <c r="S68" s="305"/>
      <c r="T68" s="305"/>
      <c r="U68" s="305"/>
      <c r="V68" s="305"/>
      <c r="W68" s="305"/>
      <c r="X68" s="305"/>
      <c r="Y68" s="305"/>
      <c r="Z68" s="120">
        <f t="shared" si="39"/>
        <v>45</v>
      </c>
      <c r="AA68" s="305"/>
      <c r="AB68" s="305">
        <f>AA68*iét!$D$226</f>
        <v>0</v>
      </c>
      <c r="AC68" s="305">
        <f>AA68*iét!$D$227</f>
        <v>0</v>
      </c>
      <c r="AD68" s="305">
        <f>AA68*iét!$D$228</f>
        <v>0</v>
      </c>
      <c r="AE68" s="305">
        <f>AA68*iét!$D$229</f>
        <v>0</v>
      </c>
      <c r="AF68" s="120">
        <f aca="true" t="shared" si="42" ref="AF68:AF128">SUM(AB68:AE68)</f>
        <v>0</v>
      </c>
      <c r="AG68" s="117"/>
      <c r="AH68" s="305"/>
      <c r="AI68" s="120">
        <f>SUM(AG68:AH68)</f>
        <v>0</v>
      </c>
      <c r="AJ68" s="346">
        <f t="shared" si="40"/>
        <v>818</v>
      </c>
    </row>
    <row r="69" spans="1:36" ht="12">
      <c r="A69" s="115" t="s">
        <v>1288</v>
      </c>
      <c r="B69" s="305">
        <f>hiv!D132</f>
        <v>70</v>
      </c>
      <c r="C69" s="117"/>
      <c r="D69" s="305"/>
      <c r="E69" s="120">
        <f>SUM(B69:D69)</f>
        <v>70</v>
      </c>
      <c r="F69" s="305"/>
      <c r="G69" s="305"/>
      <c r="H69" s="120">
        <f>SUM(F69:G69)</f>
        <v>0</v>
      </c>
      <c r="I69" s="117"/>
      <c r="J69" s="305"/>
      <c r="K69" s="305"/>
      <c r="L69" s="305"/>
      <c r="M69" s="305"/>
      <c r="N69" s="305"/>
      <c r="O69" s="120">
        <f t="shared" si="38"/>
        <v>0</v>
      </c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120">
        <f t="shared" si="39"/>
        <v>0</v>
      </c>
      <c r="AA69" s="305"/>
      <c r="AB69" s="305">
        <f>AA69*iét!$D$226</f>
        <v>0</v>
      </c>
      <c r="AC69" s="305">
        <f>AA69*iét!$D$227</f>
        <v>0</v>
      </c>
      <c r="AD69" s="305">
        <f>AA69*iét!$D$228</f>
        <v>0</v>
      </c>
      <c r="AE69" s="305">
        <f>AA69*iét!$D$229</f>
        <v>0</v>
      </c>
      <c r="AF69" s="120">
        <f t="shared" si="42"/>
        <v>0</v>
      </c>
      <c r="AG69" s="117"/>
      <c r="AH69" s="305"/>
      <c r="AI69" s="120">
        <f>SUM(AG69:AH69)</f>
        <v>0</v>
      </c>
      <c r="AJ69" s="346">
        <f t="shared" si="40"/>
        <v>70</v>
      </c>
    </row>
    <row r="70" spans="1:36" ht="12">
      <c r="A70" s="115" t="s">
        <v>311</v>
      </c>
      <c r="B70" s="305">
        <f>hiv!D133</f>
        <v>170</v>
      </c>
      <c r="C70" s="117"/>
      <c r="D70" s="305"/>
      <c r="E70" s="120">
        <f>SUM(B70:D70)</f>
        <v>170</v>
      </c>
      <c r="F70" s="305"/>
      <c r="G70" s="305"/>
      <c r="H70" s="120">
        <f>SUM(F70:G70)</f>
        <v>0</v>
      </c>
      <c r="I70" s="117"/>
      <c r="J70" s="305"/>
      <c r="K70" s="305"/>
      <c r="L70" s="305"/>
      <c r="M70" s="305"/>
      <c r="N70" s="305"/>
      <c r="O70" s="120">
        <f t="shared" si="38"/>
        <v>0</v>
      </c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120">
        <f t="shared" si="39"/>
        <v>0</v>
      </c>
      <c r="AA70" s="305"/>
      <c r="AB70" s="305">
        <f>AA70*iét!$D$226</f>
        <v>0</v>
      </c>
      <c r="AC70" s="305">
        <f>AA70*iét!$D$227</f>
        <v>0</v>
      </c>
      <c r="AD70" s="305">
        <f>AA70*iét!$D$228</f>
        <v>0</v>
      </c>
      <c r="AE70" s="305">
        <f>AA70*iét!$D$229</f>
        <v>0</v>
      </c>
      <c r="AF70" s="120">
        <f t="shared" si="42"/>
        <v>0</v>
      </c>
      <c r="AG70" s="117"/>
      <c r="AH70" s="305"/>
      <c r="AI70" s="120">
        <f>SUM(AG70:AH70)</f>
        <v>0</v>
      </c>
      <c r="AJ70" s="346">
        <f t="shared" si="40"/>
        <v>170</v>
      </c>
    </row>
    <row r="71" spans="1:36" ht="12">
      <c r="A71" s="121" t="s">
        <v>1289</v>
      </c>
      <c r="B71" s="307">
        <f aca="true" t="shared" si="43" ref="B71:AJ71">SUM(B68:B70)</f>
        <v>853</v>
      </c>
      <c r="C71" s="122"/>
      <c r="D71" s="307">
        <f t="shared" si="43"/>
        <v>0</v>
      </c>
      <c r="E71" s="122">
        <f t="shared" si="43"/>
        <v>853</v>
      </c>
      <c r="F71" s="307">
        <f>SUM(F68:F70)</f>
        <v>160</v>
      </c>
      <c r="G71" s="307">
        <f t="shared" si="43"/>
        <v>0</v>
      </c>
      <c r="H71" s="122">
        <f t="shared" si="43"/>
        <v>160</v>
      </c>
      <c r="I71" s="122">
        <f t="shared" si="43"/>
        <v>0</v>
      </c>
      <c r="J71" s="307">
        <f t="shared" si="43"/>
        <v>0</v>
      </c>
      <c r="K71" s="307">
        <f t="shared" si="43"/>
        <v>0</v>
      </c>
      <c r="L71" s="307">
        <f t="shared" si="43"/>
        <v>0</v>
      </c>
      <c r="M71" s="307">
        <f t="shared" si="43"/>
        <v>0</v>
      </c>
      <c r="N71" s="307">
        <f t="shared" si="43"/>
        <v>0</v>
      </c>
      <c r="O71" s="122">
        <f t="shared" si="43"/>
        <v>0</v>
      </c>
      <c r="P71" s="307">
        <f t="shared" si="43"/>
        <v>0</v>
      </c>
      <c r="Q71" s="307">
        <f t="shared" si="43"/>
        <v>0</v>
      </c>
      <c r="R71" s="307">
        <f t="shared" si="43"/>
        <v>45</v>
      </c>
      <c r="S71" s="307">
        <f t="shared" si="43"/>
        <v>0</v>
      </c>
      <c r="T71" s="307">
        <f>SUM(T68:T70)</f>
        <v>0</v>
      </c>
      <c r="U71" s="307">
        <f>SUM(U68:U70)</f>
        <v>0</v>
      </c>
      <c r="V71" s="307">
        <f>SUM(V68:V70)</f>
        <v>0</v>
      </c>
      <c r="W71" s="307"/>
      <c r="X71" s="307"/>
      <c r="Y71" s="307">
        <f>SUM(Y68:Y70)</f>
        <v>0</v>
      </c>
      <c r="Z71" s="122">
        <f t="shared" si="43"/>
        <v>45</v>
      </c>
      <c r="AA71" s="307">
        <f t="shared" si="43"/>
        <v>0</v>
      </c>
      <c r="AB71" s="307">
        <f t="shared" si="43"/>
        <v>0</v>
      </c>
      <c r="AC71" s="307">
        <f t="shared" si="43"/>
        <v>0</v>
      </c>
      <c r="AD71" s="307">
        <f t="shared" si="43"/>
        <v>0</v>
      </c>
      <c r="AE71" s="307">
        <f>SUM(AE68:AE70)</f>
        <v>0</v>
      </c>
      <c r="AF71" s="122">
        <f>SUM(AF68:AF70)</f>
        <v>0</v>
      </c>
      <c r="AG71" s="122">
        <f t="shared" si="43"/>
        <v>0</v>
      </c>
      <c r="AH71" s="307">
        <f t="shared" si="43"/>
        <v>0</v>
      </c>
      <c r="AI71" s="122">
        <f t="shared" si="43"/>
        <v>0</v>
      </c>
      <c r="AJ71" s="307">
        <f t="shared" si="43"/>
        <v>1058</v>
      </c>
    </row>
    <row r="72" spans="1:36" ht="12">
      <c r="A72" s="115" t="s">
        <v>1290</v>
      </c>
      <c r="B72" s="117">
        <v>0</v>
      </c>
      <c r="C72" s="117"/>
      <c r="D72" s="305"/>
      <c r="E72" s="120">
        <f aca="true" t="shared" si="44" ref="E72:E80">SUM(B72:D72)</f>
        <v>0</v>
      </c>
      <c r="F72" s="305"/>
      <c r="G72" s="305"/>
      <c r="H72" s="120">
        <f aca="true" t="shared" si="45" ref="H72:H80">SUM(F72:G72)</f>
        <v>0</v>
      </c>
      <c r="I72" s="117"/>
      <c r="J72" s="305"/>
      <c r="K72" s="305"/>
      <c r="L72" s="305"/>
      <c r="M72" s="305"/>
      <c r="N72" s="305"/>
      <c r="O72" s="120">
        <f t="shared" si="38"/>
        <v>0</v>
      </c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120">
        <f t="shared" si="39"/>
        <v>0</v>
      </c>
      <c r="AA72" s="305"/>
      <c r="AB72" s="305">
        <f>AA72*iét!$D$226</f>
        <v>0</v>
      </c>
      <c r="AC72" s="305">
        <f>AA72*iét!$D$227</f>
        <v>0</v>
      </c>
      <c r="AD72" s="305">
        <f>AA72*iét!$D$228</f>
        <v>0</v>
      </c>
      <c r="AE72" s="305">
        <f>AA72*iét!$D$229</f>
        <v>0</v>
      </c>
      <c r="AF72" s="120">
        <f t="shared" si="42"/>
        <v>0</v>
      </c>
      <c r="AG72" s="117"/>
      <c r="AH72" s="305"/>
      <c r="AI72" s="120">
        <f aca="true" t="shared" si="46" ref="AI72:AI80">SUM(AG72:AH72)</f>
        <v>0</v>
      </c>
      <c r="AJ72" s="131">
        <f t="shared" si="40"/>
        <v>0</v>
      </c>
    </row>
    <row r="73" spans="1:36" ht="12">
      <c r="A73" s="115" t="s">
        <v>1291</v>
      </c>
      <c r="B73" s="305">
        <f>hiv!D135</f>
        <v>32</v>
      </c>
      <c r="C73" s="117"/>
      <c r="D73" s="305"/>
      <c r="E73" s="120">
        <f t="shared" si="44"/>
        <v>32</v>
      </c>
      <c r="F73" s="305">
        <f>isk!D72</f>
        <v>350</v>
      </c>
      <c r="G73" s="305">
        <f>isk!D121</f>
        <v>39</v>
      </c>
      <c r="H73" s="120">
        <f t="shared" si="45"/>
        <v>389</v>
      </c>
      <c r="I73" s="117"/>
      <c r="J73" s="305"/>
      <c r="K73" s="305"/>
      <c r="L73" s="305"/>
      <c r="M73" s="305"/>
      <c r="N73" s="305"/>
      <c r="O73" s="120">
        <f t="shared" si="38"/>
        <v>0</v>
      </c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120">
        <f t="shared" si="39"/>
        <v>0</v>
      </c>
      <c r="AA73" s="305"/>
      <c r="AB73" s="305">
        <f>AA73*iét!$D$226</f>
        <v>0</v>
      </c>
      <c r="AC73" s="305">
        <f>AA73*iét!$D$227</f>
        <v>0</v>
      </c>
      <c r="AD73" s="305">
        <f>AA73*iét!$D$228</f>
        <v>0</v>
      </c>
      <c r="AE73" s="305">
        <f>AA73*iét!$D$229</f>
        <v>0</v>
      </c>
      <c r="AF73" s="120">
        <f t="shared" si="42"/>
        <v>0</v>
      </c>
      <c r="AG73" s="117"/>
      <c r="AH73" s="305">
        <f>elsz!$D$91</f>
        <v>30</v>
      </c>
      <c r="AI73" s="120">
        <f t="shared" si="46"/>
        <v>30</v>
      </c>
      <c r="AJ73" s="346">
        <f t="shared" si="40"/>
        <v>451</v>
      </c>
    </row>
    <row r="74" spans="1:36" ht="12">
      <c r="A74" s="115" t="s">
        <v>1292</v>
      </c>
      <c r="B74" s="305">
        <f>hiv!D136</f>
        <v>76</v>
      </c>
      <c r="C74" s="117"/>
      <c r="D74" s="305"/>
      <c r="E74" s="120">
        <f t="shared" si="44"/>
        <v>76</v>
      </c>
      <c r="F74" s="305"/>
      <c r="G74" s="305"/>
      <c r="H74" s="120">
        <f t="shared" si="45"/>
        <v>0</v>
      </c>
      <c r="I74" s="117"/>
      <c r="J74" s="305">
        <f>teü!$D$80</f>
        <v>0</v>
      </c>
      <c r="K74" s="305"/>
      <c r="L74" s="305"/>
      <c r="M74" s="305"/>
      <c r="N74" s="305">
        <f>teü!$D$196</f>
        <v>126</v>
      </c>
      <c r="O74" s="120">
        <f t="shared" si="38"/>
        <v>126</v>
      </c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120">
        <f t="shared" si="39"/>
        <v>0</v>
      </c>
      <c r="AA74" s="305">
        <f>iét!$D$192</f>
        <v>0</v>
      </c>
      <c r="AB74" s="305">
        <f>AA74*iét!$D$226</f>
        <v>0</v>
      </c>
      <c r="AC74" s="305">
        <f>AA74*iét!$D$227</f>
        <v>0</v>
      </c>
      <c r="AD74" s="305">
        <f>AA74*iét!$D$228</f>
        <v>0</v>
      </c>
      <c r="AE74" s="305">
        <f>AA74*iét!$D$229</f>
        <v>0</v>
      </c>
      <c r="AF74" s="120">
        <f t="shared" si="42"/>
        <v>0</v>
      </c>
      <c r="AG74" s="117"/>
      <c r="AH74" s="305"/>
      <c r="AI74" s="120">
        <f t="shared" si="46"/>
        <v>0</v>
      </c>
      <c r="AJ74" s="131">
        <f t="shared" si="40"/>
        <v>202</v>
      </c>
    </row>
    <row r="75" spans="1:36" ht="12">
      <c r="A75" s="115" t="s">
        <v>1293</v>
      </c>
      <c r="B75" s="305">
        <f>hiv!D137</f>
        <v>730</v>
      </c>
      <c r="C75" s="117"/>
      <c r="D75" s="305"/>
      <c r="E75" s="120">
        <f t="shared" si="44"/>
        <v>730</v>
      </c>
      <c r="F75" s="305">
        <f>isk!D74</f>
        <v>2190</v>
      </c>
      <c r="G75" s="305">
        <f>isk!D123</f>
        <v>630</v>
      </c>
      <c r="H75" s="120">
        <f t="shared" si="45"/>
        <v>2820</v>
      </c>
      <c r="I75" s="117"/>
      <c r="J75" s="305"/>
      <c r="K75" s="305"/>
      <c r="L75" s="305"/>
      <c r="M75" s="305"/>
      <c r="N75" s="305"/>
      <c r="O75" s="120">
        <f t="shared" si="38"/>
        <v>0</v>
      </c>
      <c r="P75" s="305"/>
      <c r="Q75" s="305"/>
      <c r="R75" s="305">
        <f>fsp!$D$170</f>
        <v>150</v>
      </c>
      <c r="S75" s="305"/>
      <c r="T75" s="305"/>
      <c r="U75" s="305"/>
      <c r="V75" s="305"/>
      <c r="W75" s="305"/>
      <c r="X75" s="305"/>
      <c r="Y75" s="305">
        <v>155</v>
      </c>
      <c r="Z75" s="120">
        <f t="shared" si="39"/>
        <v>305</v>
      </c>
      <c r="AA75" s="305">
        <f>iét!$D$193</f>
        <v>620</v>
      </c>
      <c r="AB75" s="305">
        <f>AA75*iét!$D$226</f>
        <v>98.61290850035417</v>
      </c>
      <c r="AC75" s="305">
        <f>AA75*iét!$D$227</f>
        <v>302.0450887248416</v>
      </c>
      <c r="AD75" s="305">
        <f>AA75*iét!$D$228</f>
        <v>84.71775127904496</v>
      </c>
      <c r="AE75" s="305">
        <f>AA75*iét!$D$229</f>
        <v>134.6242514957592</v>
      </c>
      <c r="AF75" s="120">
        <f t="shared" si="42"/>
        <v>620</v>
      </c>
      <c r="AG75" s="117"/>
      <c r="AH75" s="305">
        <f>elsz!$D$92</f>
        <v>499</v>
      </c>
      <c r="AI75" s="120">
        <f t="shared" si="46"/>
        <v>499</v>
      </c>
      <c r="AJ75" s="131">
        <f t="shared" si="40"/>
        <v>4974</v>
      </c>
    </row>
    <row r="76" spans="1:36" ht="12">
      <c r="A76" s="115" t="s">
        <v>630</v>
      </c>
      <c r="B76" s="305">
        <f>hiv!D138</f>
        <v>284</v>
      </c>
      <c r="C76" s="117"/>
      <c r="D76" s="305"/>
      <c r="E76" s="120">
        <f t="shared" si="44"/>
        <v>284</v>
      </c>
      <c r="F76" s="305">
        <f>isk!D75</f>
        <v>870</v>
      </c>
      <c r="G76" s="305">
        <f>isk!D124</f>
        <v>213</v>
      </c>
      <c r="H76" s="120">
        <f t="shared" si="45"/>
        <v>1083</v>
      </c>
      <c r="I76" s="117"/>
      <c r="J76" s="305"/>
      <c r="K76" s="305">
        <f>teü!$D$126</f>
        <v>50</v>
      </c>
      <c r="L76" s="305">
        <f>teü!$D$152</f>
        <v>1000</v>
      </c>
      <c r="M76" s="305"/>
      <c r="N76" s="305"/>
      <c r="O76" s="120">
        <f t="shared" si="38"/>
        <v>1050</v>
      </c>
      <c r="P76" s="305"/>
      <c r="Q76" s="305"/>
      <c r="R76" s="305">
        <f>fsp!$D$171</f>
        <v>50</v>
      </c>
      <c r="S76" s="305"/>
      <c r="T76" s="305"/>
      <c r="U76" s="305"/>
      <c r="V76" s="305"/>
      <c r="W76" s="305"/>
      <c r="X76" s="305"/>
      <c r="Y76" s="305">
        <v>70</v>
      </c>
      <c r="Z76" s="120">
        <f t="shared" si="39"/>
        <v>120</v>
      </c>
      <c r="AA76" s="305">
        <f>iét!$D$194</f>
        <v>200</v>
      </c>
      <c r="AB76" s="305">
        <f>AA76*iét!$D$226</f>
        <v>31.810615645275536</v>
      </c>
      <c r="AC76" s="305">
        <f>AA76*iét!$D$227</f>
        <v>97.43389958865859</v>
      </c>
      <c r="AD76" s="305">
        <f>AA76*iét!$D$228</f>
        <v>27.328306864208052</v>
      </c>
      <c r="AE76" s="305">
        <f>AA76*iét!$D$229</f>
        <v>43.42717790185781</v>
      </c>
      <c r="AF76" s="120">
        <f t="shared" si="42"/>
        <v>200</v>
      </c>
      <c r="AG76" s="117"/>
      <c r="AH76" s="305">
        <f>elsz!$D$93</f>
        <v>220</v>
      </c>
      <c r="AI76" s="120">
        <f t="shared" si="46"/>
        <v>220</v>
      </c>
      <c r="AJ76" s="131">
        <f t="shared" si="40"/>
        <v>2957</v>
      </c>
    </row>
    <row r="77" spans="1:36" ht="12">
      <c r="A77" s="115" t="s">
        <v>631</v>
      </c>
      <c r="B77" s="117"/>
      <c r="C77" s="117"/>
      <c r="D77" s="305"/>
      <c r="E77" s="120">
        <f t="shared" si="44"/>
        <v>0</v>
      </c>
      <c r="F77" s="305"/>
      <c r="G77" s="305"/>
      <c r="H77" s="120">
        <f t="shared" si="45"/>
        <v>0</v>
      </c>
      <c r="I77" s="117"/>
      <c r="J77" s="305"/>
      <c r="K77" s="305"/>
      <c r="L77" s="305"/>
      <c r="M77" s="305"/>
      <c r="N77" s="305"/>
      <c r="O77" s="120">
        <f t="shared" si="38"/>
        <v>0</v>
      </c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120">
        <f t="shared" si="39"/>
        <v>0</v>
      </c>
      <c r="AA77" s="305"/>
      <c r="AB77" s="305">
        <f>AA77*iét!$D$226</f>
        <v>0</v>
      </c>
      <c r="AC77" s="305">
        <f>AA77*iét!$D$227</f>
        <v>0</v>
      </c>
      <c r="AD77" s="305">
        <f>AA77*iét!$D$228</f>
        <v>0</v>
      </c>
      <c r="AE77" s="305">
        <f>AA77*iét!$D$229</f>
        <v>0</v>
      </c>
      <c r="AF77" s="120">
        <f t="shared" si="42"/>
        <v>0</v>
      </c>
      <c r="AG77" s="117"/>
      <c r="AH77" s="305"/>
      <c r="AI77" s="120">
        <f t="shared" si="46"/>
        <v>0</v>
      </c>
      <c r="AJ77" s="131">
        <f t="shared" si="40"/>
        <v>0</v>
      </c>
    </row>
    <row r="78" spans="1:36" ht="12">
      <c r="A78" s="115" t="s">
        <v>632</v>
      </c>
      <c r="B78" s="305">
        <f>hiv!D139</f>
        <v>10</v>
      </c>
      <c r="C78" s="117"/>
      <c r="D78" s="305"/>
      <c r="E78" s="120">
        <f t="shared" si="44"/>
        <v>10</v>
      </c>
      <c r="F78" s="305">
        <f>isk!D76</f>
        <v>40</v>
      </c>
      <c r="G78" s="305">
        <f>isk!D125</f>
        <v>9</v>
      </c>
      <c r="H78" s="120">
        <f t="shared" si="45"/>
        <v>49</v>
      </c>
      <c r="I78" s="117"/>
      <c r="J78" s="305"/>
      <c r="K78" s="305">
        <f>teü!$D$127</f>
        <v>5</v>
      </c>
      <c r="L78" s="305"/>
      <c r="M78" s="305"/>
      <c r="N78" s="305"/>
      <c r="O78" s="120">
        <f t="shared" si="38"/>
        <v>5</v>
      </c>
      <c r="P78" s="305"/>
      <c r="Q78" s="305"/>
      <c r="R78" s="305">
        <f>fsp!$D$172</f>
        <v>5</v>
      </c>
      <c r="S78" s="305"/>
      <c r="T78" s="305"/>
      <c r="U78" s="305"/>
      <c r="V78" s="305"/>
      <c r="W78" s="305"/>
      <c r="X78" s="305"/>
      <c r="Y78" s="305"/>
      <c r="Z78" s="120">
        <f t="shared" si="39"/>
        <v>5</v>
      </c>
      <c r="AA78" s="305">
        <f>iét!$D$195</f>
        <v>15</v>
      </c>
      <c r="AB78" s="305">
        <f>AA78*iét!$D$226</f>
        <v>2.3857961733956654</v>
      </c>
      <c r="AC78" s="305">
        <f>AA78*iét!$D$227</f>
        <v>7.307542469149395</v>
      </c>
      <c r="AD78" s="305">
        <f>AA78*iét!$D$228</f>
        <v>2.049623014815604</v>
      </c>
      <c r="AE78" s="305">
        <f>AA78*iét!$D$229</f>
        <v>3.2570383426393357</v>
      </c>
      <c r="AF78" s="120">
        <f t="shared" si="42"/>
        <v>14.999999999999998</v>
      </c>
      <c r="AG78" s="117"/>
      <c r="AH78" s="305">
        <f>elsz!$D$94</f>
        <v>5</v>
      </c>
      <c r="AI78" s="120">
        <f t="shared" si="46"/>
        <v>5</v>
      </c>
      <c r="AJ78" s="131">
        <f t="shared" si="40"/>
        <v>89</v>
      </c>
    </row>
    <row r="79" spans="1:36" ht="12">
      <c r="A79" s="115" t="s">
        <v>633</v>
      </c>
      <c r="B79" s="305">
        <f>hiv!D140</f>
        <v>130</v>
      </c>
      <c r="C79" s="117"/>
      <c r="D79" s="305"/>
      <c r="E79" s="120">
        <f t="shared" si="44"/>
        <v>130</v>
      </c>
      <c r="F79" s="305">
        <f>isk!D77</f>
        <v>50</v>
      </c>
      <c r="G79" s="305">
        <f>isk!D126</f>
        <v>0</v>
      </c>
      <c r="H79" s="120">
        <f t="shared" si="45"/>
        <v>50</v>
      </c>
      <c r="I79" s="117">
        <f>teü!$D$12</f>
        <v>0</v>
      </c>
      <c r="J79" s="305">
        <f>teü!$D$83</f>
        <v>0</v>
      </c>
      <c r="K79" s="305">
        <f>teü!$D$128</f>
        <v>0</v>
      </c>
      <c r="L79" s="305"/>
      <c r="M79" s="305"/>
      <c r="N79" s="305"/>
      <c r="O79" s="120">
        <f t="shared" si="38"/>
        <v>0</v>
      </c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120">
        <f t="shared" si="39"/>
        <v>0</v>
      </c>
      <c r="AA79" s="305">
        <f>iét!$D$196</f>
        <v>80</v>
      </c>
      <c r="AB79" s="305">
        <f>AA79*iét!$D$226</f>
        <v>12.724246258110215</v>
      </c>
      <c r="AC79" s="305">
        <f>AA79*iét!$D$227</f>
        <v>38.97355983546343</v>
      </c>
      <c r="AD79" s="305">
        <f>AA79*iét!$D$228</f>
        <v>10.931322745683222</v>
      </c>
      <c r="AE79" s="305">
        <f>AA79*iét!$D$229</f>
        <v>17.370871160743125</v>
      </c>
      <c r="AF79" s="120">
        <f t="shared" si="42"/>
        <v>79.99999999999999</v>
      </c>
      <c r="AG79" s="117"/>
      <c r="AH79" s="305">
        <f>elsz!$D$95</f>
        <v>20</v>
      </c>
      <c r="AI79" s="120">
        <f t="shared" si="46"/>
        <v>20</v>
      </c>
      <c r="AJ79" s="131">
        <f t="shared" si="40"/>
        <v>280</v>
      </c>
    </row>
    <row r="80" spans="1:36" ht="12">
      <c r="A80" s="115" t="s">
        <v>634</v>
      </c>
      <c r="B80" s="305">
        <f>hiv!D141</f>
        <v>260</v>
      </c>
      <c r="C80" s="117"/>
      <c r="D80" s="305">
        <f>körj!D70</f>
        <v>0</v>
      </c>
      <c r="E80" s="120">
        <f t="shared" si="44"/>
        <v>260</v>
      </c>
      <c r="F80" s="305">
        <f>isk!D78</f>
        <v>50</v>
      </c>
      <c r="G80" s="305">
        <f>isk!D127</f>
        <v>5</v>
      </c>
      <c r="H80" s="120">
        <f t="shared" si="45"/>
        <v>55</v>
      </c>
      <c r="I80" s="117"/>
      <c r="J80" s="305">
        <f>teü!$D$84</f>
        <v>50</v>
      </c>
      <c r="K80" s="305"/>
      <c r="L80" s="305">
        <f>teü!$D$153</f>
        <v>650</v>
      </c>
      <c r="M80" s="305">
        <f>teü!$D$174</f>
        <v>1600</v>
      </c>
      <c r="N80" s="305"/>
      <c r="O80" s="120">
        <f t="shared" si="38"/>
        <v>2300</v>
      </c>
      <c r="P80" s="305"/>
      <c r="Q80" s="305"/>
      <c r="R80" s="305">
        <f>fsp!$D$173</f>
        <v>5</v>
      </c>
      <c r="S80" s="305"/>
      <c r="T80" s="305"/>
      <c r="U80" s="305"/>
      <c r="V80" s="305"/>
      <c r="W80" s="305"/>
      <c r="X80" s="305"/>
      <c r="Y80" s="305"/>
      <c r="Z80" s="120">
        <f t="shared" si="39"/>
        <v>5</v>
      </c>
      <c r="AA80" s="305">
        <f>iét!$D$197</f>
        <v>30</v>
      </c>
      <c r="AB80" s="305">
        <f>AA80*iét!$D$226</f>
        <v>4.771592346791331</v>
      </c>
      <c r="AC80" s="305">
        <f>AA80*iét!$D$227</f>
        <v>14.61508493829879</v>
      </c>
      <c r="AD80" s="305">
        <f>AA80*iét!$D$228</f>
        <v>4.099246029631208</v>
      </c>
      <c r="AE80" s="305">
        <f>AA80*iét!$D$229</f>
        <v>6.514076685278671</v>
      </c>
      <c r="AF80" s="120">
        <f t="shared" si="42"/>
        <v>29.999999999999996</v>
      </c>
      <c r="AG80" s="117"/>
      <c r="AH80" s="305">
        <f>elsz!$D$96</f>
        <v>5</v>
      </c>
      <c r="AI80" s="120">
        <f t="shared" si="46"/>
        <v>5</v>
      </c>
      <c r="AJ80" s="131">
        <f t="shared" si="40"/>
        <v>2655</v>
      </c>
    </row>
    <row r="81" spans="1:36" ht="12">
      <c r="A81" s="121" t="s">
        <v>313</v>
      </c>
      <c r="B81" s="307">
        <f aca="true" t="shared" si="47" ref="B81:AI81">SUM(B72:B80)</f>
        <v>1522</v>
      </c>
      <c r="C81" s="122"/>
      <c r="D81" s="307">
        <f t="shared" si="47"/>
        <v>0</v>
      </c>
      <c r="E81" s="122">
        <f t="shared" si="47"/>
        <v>1522</v>
      </c>
      <c r="F81" s="307">
        <f t="shared" si="47"/>
        <v>3550</v>
      </c>
      <c r="G81" s="307">
        <f t="shared" si="47"/>
        <v>896</v>
      </c>
      <c r="H81" s="122">
        <f>SUM(H72:H80)</f>
        <v>4446</v>
      </c>
      <c r="I81" s="122">
        <f t="shared" si="47"/>
        <v>0</v>
      </c>
      <c r="J81" s="307">
        <f t="shared" si="47"/>
        <v>50</v>
      </c>
      <c r="K81" s="307">
        <f t="shared" si="47"/>
        <v>55</v>
      </c>
      <c r="L81" s="307">
        <f t="shared" si="47"/>
        <v>1650</v>
      </c>
      <c r="M81" s="307">
        <f t="shared" si="47"/>
        <v>1600</v>
      </c>
      <c r="N81" s="307">
        <f t="shared" si="47"/>
        <v>126</v>
      </c>
      <c r="O81" s="122">
        <f t="shared" si="47"/>
        <v>3481</v>
      </c>
      <c r="P81" s="307">
        <f t="shared" si="47"/>
        <v>0</v>
      </c>
      <c r="Q81" s="307">
        <f t="shared" si="47"/>
        <v>0</v>
      </c>
      <c r="R81" s="307">
        <f t="shared" si="47"/>
        <v>210</v>
      </c>
      <c r="S81" s="307">
        <f t="shared" si="47"/>
        <v>0</v>
      </c>
      <c r="T81" s="307">
        <f>SUM(T72:T80)</f>
        <v>0</v>
      </c>
      <c r="U81" s="307">
        <f>SUM(U72:U80)</f>
        <v>0</v>
      </c>
      <c r="V81" s="307">
        <f>SUM(V72:V80)</f>
        <v>0</v>
      </c>
      <c r="W81" s="307"/>
      <c r="X81" s="307"/>
      <c r="Y81" s="307">
        <f>SUM(Y72:Y80)</f>
        <v>225</v>
      </c>
      <c r="Z81" s="122">
        <f t="shared" si="47"/>
        <v>435</v>
      </c>
      <c r="AA81" s="307">
        <f t="shared" si="47"/>
        <v>945</v>
      </c>
      <c r="AB81" s="307">
        <f t="shared" si="47"/>
        <v>150.3051589239269</v>
      </c>
      <c r="AC81" s="307">
        <f t="shared" si="47"/>
        <v>460.37517555641176</v>
      </c>
      <c r="AD81" s="307">
        <f t="shared" si="47"/>
        <v>129.12624993338306</v>
      </c>
      <c r="AE81" s="307">
        <f>SUM(AE72:AE80)</f>
        <v>205.19341558627815</v>
      </c>
      <c r="AF81" s="122">
        <f>SUM(AF72:AF80)</f>
        <v>945</v>
      </c>
      <c r="AG81" s="122">
        <f t="shared" si="47"/>
        <v>0</v>
      </c>
      <c r="AH81" s="307">
        <f t="shared" si="47"/>
        <v>779</v>
      </c>
      <c r="AI81" s="122">
        <f t="shared" si="47"/>
        <v>779</v>
      </c>
      <c r="AJ81" s="122">
        <f>SUM(AJ72:AJ80)</f>
        <v>11608</v>
      </c>
    </row>
    <row r="82" spans="1:36" ht="12">
      <c r="A82" s="115" t="s">
        <v>312</v>
      </c>
      <c r="B82" s="305">
        <f>hiv!D142</f>
        <v>150</v>
      </c>
      <c r="C82" s="117"/>
      <c r="D82" s="305"/>
      <c r="E82" s="120">
        <f>SUM(B82:D82)</f>
        <v>150</v>
      </c>
      <c r="F82" s="305">
        <f>isk!D79</f>
        <v>0</v>
      </c>
      <c r="G82" s="305">
        <f>isk!D128</f>
        <v>5</v>
      </c>
      <c r="H82" s="120">
        <f>SUM(F82:G82)</f>
        <v>5</v>
      </c>
      <c r="I82" s="117"/>
      <c r="J82" s="305"/>
      <c r="K82" s="305"/>
      <c r="L82" s="305"/>
      <c r="M82" s="305"/>
      <c r="N82" s="305"/>
      <c r="O82" s="120">
        <f t="shared" si="38"/>
        <v>0</v>
      </c>
      <c r="P82" s="305"/>
      <c r="Q82" s="305"/>
      <c r="R82" s="305">
        <f>fsp!D174</f>
        <v>5</v>
      </c>
      <c r="S82" s="305"/>
      <c r="T82" s="305"/>
      <c r="U82" s="305"/>
      <c r="V82" s="305"/>
      <c r="W82" s="305"/>
      <c r="X82" s="305"/>
      <c r="Y82" s="305"/>
      <c r="Z82" s="120">
        <f t="shared" si="39"/>
        <v>5</v>
      </c>
      <c r="AA82" s="305">
        <f>iét!$D$198</f>
        <v>100</v>
      </c>
      <c r="AB82" s="305">
        <f>AA82*iét!$D$226</f>
        <v>15.905307822637768</v>
      </c>
      <c r="AC82" s="305">
        <f>AA82*iét!$D$227</f>
        <v>48.716949794329295</v>
      </c>
      <c r="AD82" s="305">
        <f>AA82*iét!$D$228</f>
        <v>13.664153432104026</v>
      </c>
      <c r="AE82" s="305">
        <f>AA82*iét!$D$229</f>
        <v>21.713588950928905</v>
      </c>
      <c r="AF82" s="120">
        <f t="shared" si="42"/>
        <v>100</v>
      </c>
      <c r="AG82" s="117"/>
      <c r="AH82" s="305"/>
      <c r="AI82" s="120">
        <f>SUM(AG82:AH82)</f>
        <v>0</v>
      </c>
      <c r="AJ82" s="346">
        <f t="shared" si="40"/>
        <v>260</v>
      </c>
    </row>
    <row r="83" spans="1:36" ht="12">
      <c r="A83" s="115" t="s">
        <v>635</v>
      </c>
      <c r="B83" s="305">
        <f>hiv!D148</f>
        <v>790</v>
      </c>
      <c r="C83" s="117"/>
      <c r="D83" s="305">
        <f>körj!D75</f>
        <v>0</v>
      </c>
      <c r="E83" s="120">
        <f>SUM(B83:D83)</f>
        <v>790</v>
      </c>
      <c r="F83" s="305">
        <f>isk!D87</f>
        <v>758</v>
      </c>
      <c r="G83" s="305">
        <f>isk!D136</f>
        <v>198</v>
      </c>
      <c r="H83" s="120">
        <f>SUM(F83:G83)</f>
        <v>956</v>
      </c>
      <c r="I83" s="117">
        <f>teü!$D$15</f>
        <v>0</v>
      </c>
      <c r="J83" s="305">
        <f>teü!$D$91</f>
        <v>19</v>
      </c>
      <c r="K83" s="305">
        <f>teü!$D$135</f>
        <v>15</v>
      </c>
      <c r="L83" s="305">
        <f>teü!$D$157</f>
        <v>340</v>
      </c>
      <c r="M83" s="305">
        <f>teü!$D$178</f>
        <v>400</v>
      </c>
      <c r="N83" s="305">
        <f>teü!$D$199</f>
        <v>25</v>
      </c>
      <c r="O83" s="120">
        <f t="shared" si="38"/>
        <v>799</v>
      </c>
      <c r="P83" s="305"/>
      <c r="Q83" s="305"/>
      <c r="R83" s="305">
        <f>fsp!$D$180</f>
        <v>60</v>
      </c>
      <c r="S83" s="305"/>
      <c r="T83" s="305"/>
      <c r="U83" s="305"/>
      <c r="V83" s="305"/>
      <c r="W83" s="305"/>
      <c r="X83" s="305"/>
      <c r="Y83" s="305">
        <v>45</v>
      </c>
      <c r="Z83" s="120">
        <f t="shared" si="39"/>
        <v>105</v>
      </c>
      <c r="AA83" s="305">
        <f>iét!$D$205</f>
        <v>1400</v>
      </c>
      <c r="AB83" s="305">
        <f>AA83*iét!$D$226</f>
        <v>222.67430951692876</v>
      </c>
      <c r="AC83" s="305">
        <f>AA83*iét!$D$227</f>
        <v>682.0372971206101</v>
      </c>
      <c r="AD83" s="305">
        <f>AA83*iét!$D$228</f>
        <v>191.29814804945636</v>
      </c>
      <c r="AE83" s="305">
        <f>AA83*iét!$D$229</f>
        <v>303.99024531300466</v>
      </c>
      <c r="AF83" s="120">
        <f t="shared" si="42"/>
        <v>1399.9999999999998</v>
      </c>
      <c r="AG83" s="117"/>
      <c r="AH83" s="305">
        <f>elsz!$D$103</f>
        <v>181</v>
      </c>
      <c r="AI83" s="120">
        <f>SUM(AG83:AH83)</f>
        <v>181</v>
      </c>
      <c r="AJ83" s="346">
        <f>E83+H83+O83+Z83+AF83+AI83</f>
        <v>4231</v>
      </c>
    </row>
    <row r="84" spans="1:36" ht="12">
      <c r="A84" s="115" t="s">
        <v>636</v>
      </c>
      <c r="B84" s="117"/>
      <c r="C84" s="117"/>
      <c r="D84" s="305"/>
      <c r="E84" s="120">
        <f>SUM(B84:D84)</f>
        <v>0</v>
      </c>
      <c r="F84" s="305"/>
      <c r="G84" s="305"/>
      <c r="H84" s="120">
        <f>SUM(F84:G84)</f>
        <v>0</v>
      </c>
      <c r="I84" s="117"/>
      <c r="J84" s="305"/>
      <c r="K84" s="305"/>
      <c r="L84" s="305"/>
      <c r="M84" s="305"/>
      <c r="N84" s="305"/>
      <c r="O84" s="120">
        <f t="shared" si="38"/>
        <v>0</v>
      </c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120">
        <f t="shared" si="39"/>
        <v>0</v>
      </c>
      <c r="AA84" s="305"/>
      <c r="AB84" s="305">
        <f>AA84*iét!$D$226</f>
        <v>0</v>
      </c>
      <c r="AC84" s="305">
        <f>AA84*iét!$D$227</f>
        <v>0</v>
      </c>
      <c r="AD84" s="305">
        <f>AA84*iét!$D$228</f>
        <v>0</v>
      </c>
      <c r="AE84" s="305">
        <f>AA84*iét!$D$229</f>
        <v>0</v>
      </c>
      <c r="AF84" s="120">
        <f t="shared" si="42"/>
        <v>0</v>
      </c>
      <c r="AG84" s="117"/>
      <c r="AH84" s="305"/>
      <c r="AI84" s="120">
        <f>SUM(AG84:AH84)</f>
        <v>0</v>
      </c>
      <c r="AJ84" s="131">
        <f t="shared" si="40"/>
        <v>0</v>
      </c>
    </row>
    <row r="85" spans="1:36" ht="12">
      <c r="A85" s="115" t="s">
        <v>793</v>
      </c>
      <c r="B85" s="117"/>
      <c r="C85" s="117"/>
      <c r="D85" s="305"/>
      <c r="E85" s="120">
        <f>SUM(B85:D85)</f>
        <v>0</v>
      </c>
      <c r="F85" s="305"/>
      <c r="G85" s="305"/>
      <c r="H85" s="120">
        <f>SUM(F85:G85)</f>
        <v>0</v>
      </c>
      <c r="I85" s="117"/>
      <c r="J85" s="305"/>
      <c r="K85" s="305"/>
      <c r="L85" s="305"/>
      <c r="M85" s="305"/>
      <c r="N85" s="305"/>
      <c r="O85" s="120">
        <f t="shared" si="38"/>
        <v>0</v>
      </c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120">
        <f t="shared" si="39"/>
        <v>0</v>
      </c>
      <c r="AA85" s="305"/>
      <c r="AB85" s="305">
        <f>AA85*iét!$D$226</f>
        <v>0</v>
      </c>
      <c r="AC85" s="305">
        <f>AA85*iét!$D$227</f>
        <v>0</v>
      </c>
      <c r="AD85" s="305">
        <f>AA85*iét!$D$228</f>
        <v>0</v>
      </c>
      <c r="AE85" s="305">
        <f>AA85*iét!$D$229</f>
        <v>0</v>
      </c>
      <c r="AF85" s="120">
        <f t="shared" si="42"/>
        <v>0</v>
      </c>
      <c r="AG85" s="117"/>
      <c r="AH85" s="305"/>
      <c r="AI85" s="120">
        <f>SUM(AG85:AH85)</f>
        <v>0</v>
      </c>
      <c r="AJ85" s="131">
        <f t="shared" si="40"/>
        <v>0</v>
      </c>
    </row>
    <row r="86" spans="1:36" ht="12">
      <c r="A86" s="115" t="s">
        <v>794</v>
      </c>
      <c r="B86" s="117"/>
      <c r="C86" s="117"/>
      <c r="D86" s="305"/>
      <c r="E86" s="120">
        <f>SUM(B86:D86)</f>
        <v>0</v>
      </c>
      <c r="F86" s="305"/>
      <c r="G86" s="305"/>
      <c r="H86" s="120">
        <f>SUM(F86:G86)</f>
        <v>0</v>
      </c>
      <c r="I86" s="117"/>
      <c r="J86" s="305"/>
      <c r="K86" s="305"/>
      <c r="L86" s="305"/>
      <c r="M86" s="305"/>
      <c r="N86" s="305"/>
      <c r="O86" s="120">
        <f t="shared" si="38"/>
        <v>0</v>
      </c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120">
        <f t="shared" si="39"/>
        <v>0</v>
      </c>
      <c r="AA86" s="305"/>
      <c r="AB86" s="305">
        <f>AA86*iét!$D$226</f>
        <v>0</v>
      </c>
      <c r="AC86" s="305">
        <f>AA86*iét!$D$227</f>
        <v>0</v>
      </c>
      <c r="AD86" s="305">
        <f>AA86*iét!$D$228</f>
        <v>0</v>
      </c>
      <c r="AE86" s="305">
        <f>AA86*iét!$D$229</f>
        <v>0</v>
      </c>
      <c r="AF86" s="120">
        <f t="shared" si="42"/>
        <v>0</v>
      </c>
      <c r="AG86" s="117"/>
      <c r="AH86" s="305"/>
      <c r="AI86" s="120">
        <f>SUM(AG86:AH86)</f>
        <v>0</v>
      </c>
      <c r="AJ86" s="131">
        <f t="shared" si="40"/>
        <v>0</v>
      </c>
    </row>
    <row r="87" spans="1:36" ht="12">
      <c r="A87" s="121" t="s">
        <v>795</v>
      </c>
      <c r="B87" s="307">
        <f>SUM(B83:B86)</f>
        <v>790</v>
      </c>
      <c r="C87" s="122">
        <f aca="true" t="shared" si="48" ref="C87:AJ87">SUM(C83:C86)</f>
        <v>0</v>
      </c>
      <c r="D87" s="307">
        <f t="shared" si="48"/>
        <v>0</v>
      </c>
      <c r="E87" s="122">
        <f t="shared" si="48"/>
        <v>790</v>
      </c>
      <c r="F87" s="307">
        <f t="shared" si="48"/>
        <v>758</v>
      </c>
      <c r="G87" s="307">
        <f t="shared" si="48"/>
        <v>198</v>
      </c>
      <c r="H87" s="122">
        <f t="shared" si="48"/>
        <v>956</v>
      </c>
      <c r="I87" s="122">
        <f t="shared" si="48"/>
        <v>0</v>
      </c>
      <c r="J87" s="307">
        <f t="shared" si="48"/>
        <v>19</v>
      </c>
      <c r="K87" s="307">
        <f t="shared" si="48"/>
        <v>15</v>
      </c>
      <c r="L87" s="307">
        <f t="shared" si="48"/>
        <v>340</v>
      </c>
      <c r="M87" s="307">
        <f t="shared" si="48"/>
        <v>400</v>
      </c>
      <c r="N87" s="307">
        <f t="shared" si="48"/>
        <v>25</v>
      </c>
      <c r="O87" s="122">
        <f t="shared" si="48"/>
        <v>799</v>
      </c>
      <c r="P87" s="307">
        <f t="shared" si="48"/>
        <v>0</v>
      </c>
      <c r="Q87" s="307">
        <f t="shared" si="48"/>
        <v>0</v>
      </c>
      <c r="R87" s="307">
        <f t="shared" si="48"/>
        <v>60</v>
      </c>
      <c r="S87" s="307">
        <f t="shared" si="48"/>
        <v>0</v>
      </c>
      <c r="T87" s="307">
        <f t="shared" si="48"/>
        <v>0</v>
      </c>
      <c r="U87" s="307">
        <f t="shared" si="48"/>
        <v>0</v>
      </c>
      <c r="V87" s="307">
        <f t="shared" si="48"/>
        <v>0</v>
      </c>
      <c r="W87" s="307"/>
      <c r="X87" s="307"/>
      <c r="Y87" s="307">
        <f t="shared" si="48"/>
        <v>45</v>
      </c>
      <c r="Z87" s="122">
        <f t="shared" si="48"/>
        <v>105</v>
      </c>
      <c r="AA87" s="307">
        <f t="shared" si="48"/>
        <v>1400</v>
      </c>
      <c r="AB87" s="307">
        <f t="shared" si="48"/>
        <v>222.67430951692876</v>
      </c>
      <c r="AC87" s="307">
        <f t="shared" si="48"/>
        <v>682.0372971206101</v>
      </c>
      <c r="AD87" s="307">
        <f t="shared" si="48"/>
        <v>191.29814804945636</v>
      </c>
      <c r="AE87" s="307">
        <f t="shared" si="48"/>
        <v>303.99024531300466</v>
      </c>
      <c r="AF87" s="122">
        <f t="shared" si="48"/>
        <v>1399.9999999999998</v>
      </c>
      <c r="AG87" s="122">
        <f t="shared" si="48"/>
        <v>0</v>
      </c>
      <c r="AH87" s="307">
        <f t="shared" si="48"/>
        <v>181</v>
      </c>
      <c r="AI87" s="122">
        <f t="shared" si="48"/>
        <v>181</v>
      </c>
      <c r="AJ87" s="122">
        <f t="shared" si="48"/>
        <v>4231</v>
      </c>
    </row>
    <row r="88" spans="1:36" ht="12">
      <c r="A88" s="115" t="s">
        <v>1443</v>
      </c>
      <c r="B88" s="305">
        <f>hiv!D151</f>
        <v>60</v>
      </c>
      <c r="C88" s="117"/>
      <c r="D88" s="305"/>
      <c r="E88" s="120">
        <f>SUM(B88:D88)</f>
        <v>60</v>
      </c>
      <c r="F88" s="305"/>
      <c r="G88" s="305"/>
      <c r="H88" s="120">
        <f>SUM(F88:G88)</f>
        <v>0</v>
      </c>
      <c r="I88" s="117"/>
      <c r="J88" s="305">
        <f>teü!$D$94</f>
        <v>0</v>
      </c>
      <c r="K88" s="305"/>
      <c r="L88" s="305"/>
      <c r="M88" s="305"/>
      <c r="N88" s="305"/>
      <c r="O88" s="120">
        <f t="shared" si="38"/>
        <v>0</v>
      </c>
      <c r="P88" s="305"/>
      <c r="Q88" s="305"/>
      <c r="R88" s="305">
        <f>fsp!$D$182</f>
        <v>5</v>
      </c>
      <c r="S88" s="305"/>
      <c r="T88" s="305"/>
      <c r="U88" s="305"/>
      <c r="V88" s="305"/>
      <c r="W88" s="305"/>
      <c r="X88" s="305"/>
      <c r="Y88" s="305"/>
      <c r="Z88" s="120">
        <f t="shared" si="39"/>
        <v>5</v>
      </c>
      <c r="AA88" s="305">
        <f>iét!$D$208</f>
        <v>5</v>
      </c>
      <c r="AB88" s="305">
        <f>AA88*iét!$D$226</f>
        <v>0.7952653911318884</v>
      </c>
      <c r="AC88" s="305">
        <f>AA88*iét!$D$227</f>
        <v>2.4358474897164646</v>
      </c>
      <c r="AD88" s="305">
        <f>AA88*iét!$D$228</f>
        <v>0.6832076716052013</v>
      </c>
      <c r="AE88" s="305">
        <f>AA88*iét!$D$229</f>
        <v>1.0856794475464453</v>
      </c>
      <c r="AF88" s="120">
        <f t="shared" si="42"/>
        <v>4.999999999999999</v>
      </c>
      <c r="AG88" s="117"/>
      <c r="AH88" s="305">
        <f>elsz!$D$105</f>
        <v>5</v>
      </c>
      <c r="AI88" s="120">
        <f>SUM(AG88:AH88)</f>
        <v>5</v>
      </c>
      <c r="AJ88" s="346">
        <f t="shared" si="40"/>
        <v>75</v>
      </c>
    </row>
    <row r="89" spans="1:36" ht="12">
      <c r="A89" s="115" t="s">
        <v>796</v>
      </c>
      <c r="B89" s="305">
        <f>hiv!D152</f>
        <v>160</v>
      </c>
      <c r="C89" s="117"/>
      <c r="D89" s="305"/>
      <c r="E89" s="120">
        <f>SUM(B89:D89)</f>
        <v>160</v>
      </c>
      <c r="F89" s="305"/>
      <c r="G89" s="305"/>
      <c r="H89" s="120">
        <f>SUM(F89:G89)</f>
        <v>0</v>
      </c>
      <c r="I89" s="117"/>
      <c r="J89" s="305"/>
      <c r="K89" s="305"/>
      <c r="L89" s="305"/>
      <c r="M89" s="305"/>
      <c r="N89" s="305"/>
      <c r="O89" s="120">
        <f t="shared" si="38"/>
        <v>0</v>
      </c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120">
        <f t="shared" si="39"/>
        <v>0</v>
      </c>
      <c r="AA89" s="305"/>
      <c r="AB89" s="305">
        <f>AA89*iét!$D$226</f>
        <v>0</v>
      </c>
      <c r="AC89" s="305">
        <f>AA89*iét!$D$227</f>
        <v>0</v>
      </c>
      <c r="AD89" s="305">
        <f>AA89*iét!$D$228</f>
        <v>0</v>
      </c>
      <c r="AE89" s="305">
        <f>AA89*iét!$D$229</f>
        <v>0</v>
      </c>
      <c r="AF89" s="120">
        <f t="shared" si="42"/>
        <v>0</v>
      </c>
      <c r="AG89" s="117"/>
      <c r="AH89" s="305"/>
      <c r="AI89" s="120">
        <f>SUM(AG89:AH89)</f>
        <v>0</v>
      </c>
      <c r="AJ89" s="346">
        <f t="shared" si="40"/>
        <v>160</v>
      </c>
    </row>
    <row r="90" spans="1:36" ht="12">
      <c r="A90" s="115" t="s">
        <v>797</v>
      </c>
      <c r="B90" s="117"/>
      <c r="C90" s="117"/>
      <c r="D90" s="305"/>
      <c r="E90" s="120">
        <f>SUM(B90:D90)</f>
        <v>0</v>
      </c>
      <c r="F90" s="305"/>
      <c r="G90" s="305"/>
      <c r="H90" s="120">
        <f>SUM(F90:G90)</f>
        <v>0</v>
      </c>
      <c r="I90" s="117"/>
      <c r="J90" s="305"/>
      <c r="K90" s="305"/>
      <c r="L90" s="305"/>
      <c r="M90" s="305"/>
      <c r="N90" s="305"/>
      <c r="O90" s="120">
        <f t="shared" si="38"/>
        <v>0</v>
      </c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120">
        <f t="shared" si="39"/>
        <v>0</v>
      </c>
      <c r="AA90" s="305"/>
      <c r="AB90" s="305">
        <f>AA90*iét!$D$226</f>
        <v>0</v>
      </c>
      <c r="AC90" s="305">
        <f>AA90*iét!$D$227</f>
        <v>0</v>
      </c>
      <c r="AD90" s="305">
        <f>AA90*iét!$D$228</f>
        <v>0</v>
      </c>
      <c r="AE90" s="305">
        <f>AA90*iét!$D$229</f>
        <v>0</v>
      </c>
      <c r="AF90" s="120">
        <f t="shared" si="42"/>
        <v>0</v>
      </c>
      <c r="AG90" s="117"/>
      <c r="AH90" s="305"/>
      <c r="AI90" s="120">
        <f>SUM(AG90:AH90)</f>
        <v>0</v>
      </c>
      <c r="AJ90" s="131">
        <f t="shared" si="40"/>
        <v>0</v>
      </c>
    </row>
    <row r="91" spans="1:36" ht="12">
      <c r="A91" s="121" t="s">
        <v>798</v>
      </c>
      <c r="B91" s="307">
        <f aca="true" t="shared" si="49" ref="B91:AJ91">SUM(B88:B90)</f>
        <v>220</v>
      </c>
      <c r="C91" s="122"/>
      <c r="D91" s="307">
        <f t="shared" si="49"/>
        <v>0</v>
      </c>
      <c r="E91" s="122">
        <f t="shared" si="49"/>
        <v>220</v>
      </c>
      <c r="F91" s="307">
        <f>SUM(F88:F90)</f>
        <v>0</v>
      </c>
      <c r="G91" s="307">
        <f t="shared" si="49"/>
        <v>0</v>
      </c>
      <c r="H91" s="122">
        <f t="shared" si="49"/>
        <v>0</v>
      </c>
      <c r="I91" s="122">
        <f t="shared" si="49"/>
        <v>0</v>
      </c>
      <c r="J91" s="307">
        <f t="shared" si="49"/>
        <v>0</v>
      </c>
      <c r="K91" s="307">
        <f t="shared" si="49"/>
        <v>0</v>
      </c>
      <c r="L91" s="307">
        <f t="shared" si="49"/>
        <v>0</v>
      </c>
      <c r="M91" s="307">
        <f t="shared" si="49"/>
        <v>0</v>
      </c>
      <c r="N91" s="307">
        <f t="shared" si="49"/>
        <v>0</v>
      </c>
      <c r="O91" s="122">
        <f t="shared" si="49"/>
        <v>0</v>
      </c>
      <c r="P91" s="307">
        <f t="shared" si="49"/>
        <v>0</v>
      </c>
      <c r="Q91" s="307">
        <f t="shared" si="49"/>
        <v>0</v>
      </c>
      <c r="R91" s="307">
        <f t="shared" si="49"/>
        <v>5</v>
      </c>
      <c r="S91" s="307">
        <f t="shared" si="49"/>
        <v>0</v>
      </c>
      <c r="T91" s="307">
        <f>SUM(T88:T90)</f>
        <v>0</v>
      </c>
      <c r="U91" s="307">
        <f>SUM(U88:U90)</f>
        <v>0</v>
      </c>
      <c r="V91" s="307">
        <f>SUM(V88:V90)</f>
        <v>0</v>
      </c>
      <c r="W91" s="307"/>
      <c r="X91" s="307"/>
      <c r="Y91" s="307">
        <f>SUM(Y88:Y90)</f>
        <v>0</v>
      </c>
      <c r="Z91" s="122">
        <f t="shared" si="49"/>
        <v>5</v>
      </c>
      <c r="AA91" s="307">
        <f t="shared" si="49"/>
        <v>5</v>
      </c>
      <c r="AB91" s="307">
        <f t="shared" si="49"/>
        <v>0.7952653911318884</v>
      </c>
      <c r="AC91" s="307">
        <f t="shared" si="49"/>
        <v>2.4358474897164646</v>
      </c>
      <c r="AD91" s="307">
        <f t="shared" si="49"/>
        <v>0.6832076716052013</v>
      </c>
      <c r="AE91" s="307">
        <f>SUM(AE88:AE90)</f>
        <v>1.0856794475464453</v>
      </c>
      <c r="AF91" s="122">
        <f>SUM(AF88:AF90)</f>
        <v>4.999999999999999</v>
      </c>
      <c r="AG91" s="122">
        <f t="shared" si="49"/>
        <v>0</v>
      </c>
      <c r="AH91" s="307">
        <f t="shared" si="49"/>
        <v>5</v>
      </c>
      <c r="AI91" s="122">
        <f t="shared" si="49"/>
        <v>5</v>
      </c>
      <c r="AJ91" s="307">
        <f t="shared" si="49"/>
        <v>235</v>
      </c>
    </row>
    <row r="92" spans="1:36" ht="12">
      <c r="A92" s="115" t="s">
        <v>1444</v>
      </c>
      <c r="B92" s="305">
        <f>hiv!D159</f>
        <v>1806</v>
      </c>
      <c r="C92" s="117"/>
      <c r="D92" s="305"/>
      <c r="E92" s="120">
        <f>SUM(B92:D92)</f>
        <v>1806</v>
      </c>
      <c r="F92" s="305"/>
      <c r="G92" s="305"/>
      <c r="H92" s="120">
        <f>SUM(F92:G92)</f>
        <v>0</v>
      </c>
      <c r="I92" s="117"/>
      <c r="J92" s="305">
        <f>teü!$D$95</f>
        <v>0</v>
      </c>
      <c r="K92" s="305"/>
      <c r="L92" s="305"/>
      <c r="M92" s="305"/>
      <c r="N92" s="305"/>
      <c r="O92" s="120">
        <f t="shared" si="38"/>
        <v>0</v>
      </c>
      <c r="P92" s="305"/>
      <c r="Q92" s="305"/>
      <c r="R92" s="305">
        <f>fsp!$D$184</f>
        <v>5</v>
      </c>
      <c r="S92" s="305"/>
      <c r="T92" s="305"/>
      <c r="U92" s="305"/>
      <c r="V92" s="305"/>
      <c r="W92" s="305"/>
      <c r="X92" s="305"/>
      <c r="Y92" s="305"/>
      <c r="Z92" s="120">
        <f t="shared" si="39"/>
        <v>5</v>
      </c>
      <c r="AA92" s="305"/>
      <c r="AB92" s="305">
        <f>AA92*iét!$D$226</f>
        <v>0</v>
      </c>
      <c r="AC92" s="305">
        <f>AA92*iét!$D$227</f>
        <v>0</v>
      </c>
      <c r="AD92" s="305">
        <f>AA92*iét!$D$228</f>
        <v>0</v>
      </c>
      <c r="AE92" s="305">
        <f>AA92*iét!$D$229</f>
        <v>0</v>
      </c>
      <c r="AF92" s="120">
        <f t="shared" si="42"/>
        <v>0</v>
      </c>
      <c r="AG92" s="117"/>
      <c r="AH92" s="305"/>
      <c r="AI92" s="120">
        <f>SUM(AG92:AH92)</f>
        <v>0</v>
      </c>
      <c r="AJ92" s="346">
        <f t="shared" si="40"/>
        <v>1811</v>
      </c>
    </row>
    <row r="93" spans="1:36" ht="12">
      <c r="A93" s="116" t="s">
        <v>1445</v>
      </c>
      <c r="B93" s="308">
        <f>B67+B71+B81+B82+B87+B91+B92</f>
        <v>6810</v>
      </c>
      <c r="C93" s="118"/>
      <c r="D93" s="308">
        <f aca="true" t="shared" si="50" ref="D93:AI93">D67+D71+D81+D82+D87+D91+D92</f>
        <v>0</v>
      </c>
      <c r="E93" s="118">
        <f t="shared" si="50"/>
        <v>6810</v>
      </c>
      <c r="F93" s="308">
        <f>F67+F71+F81+F82+F87+F91+F92</f>
        <v>4595</v>
      </c>
      <c r="G93" s="308">
        <f>G67+G71+G81+G82+G87+G91+G92</f>
        <v>1136</v>
      </c>
      <c r="H93" s="118">
        <f t="shared" si="50"/>
        <v>5731</v>
      </c>
      <c r="I93" s="118">
        <f t="shared" si="50"/>
        <v>0</v>
      </c>
      <c r="J93" s="308">
        <f t="shared" si="50"/>
        <v>113</v>
      </c>
      <c r="K93" s="308">
        <f t="shared" si="50"/>
        <v>90</v>
      </c>
      <c r="L93" s="308">
        <f t="shared" si="50"/>
        <v>1990</v>
      </c>
      <c r="M93" s="308">
        <f t="shared" si="50"/>
        <v>2000</v>
      </c>
      <c r="N93" s="308">
        <f t="shared" si="50"/>
        <v>151</v>
      </c>
      <c r="O93" s="118">
        <f t="shared" si="50"/>
        <v>4344</v>
      </c>
      <c r="P93" s="308">
        <f t="shared" si="50"/>
        <v>0</v>
      </c>
      <c r="Q93" s="308">
        <f t="shared" si="50"/>
        <v>0</v>
      </c>
      <c r="R93" s="308">
        <f t="shared" si="50"/>
        <v>375</v>
      </c>
      <c r="S93" s="308">
        <f t="shared" si="50"/>
        <v>0</v>
      </c>
      <c r="T93" s="308">
        <f>T67+T71+T81+T82+T87+T91+T92</f>
        <v>0</v>
      </c>
      <c r="U93" s="308">
        <f>U67+U71+U81+U82+U87+U91+U92</f>
        <v>0</v>
      </c>
      <c r="V93" s="308">
        <f>V67+V71+V81+V82+V87+V91+V92</f>
        <v>0</v>
      </c>
      <c r="W93" s="308"/>
      <c r="X93" s="308"/>
      <c r="Y93" s="308">
        <f>Y67+Y71+Y81+Y82+Y87+Y91+Y92</f>
        <v>270</v>
      </c>
      <c r="Z93" s="118">
        <f t="shared" si="50"/>
        <v>645</v>
      </c>
      <c r="AA93" s="308">
        <f t="shared" si="50"/>
        <v>8800</v>
      </c>
      <c r="AB93" s="308">
        <f t="shared" si="50"/>
        <v>1399.6670883921236</v>
      </c>
      <c r="AC93" s="308">
        <f t="shared" si="50"/>
        <v>4287.091581900977</v>
      </c>
      <c r="AD93" s="308">
        <f t="shared" si="50"/>
        <v>1202.4455020251544</v>
      </c>
      <c r="AE93" s="308">
        <f>AE67+AE71+AE81+AE82+AE87+AE91+AE92</f>
        <v>1910.7958276817435</v>
      </c>
      <c r="AF93" s="118">
        <f>AF67+AF71+AF81+AF82+AF87+AF91+AF92</f>
        <v>8800</v>
      </c>
      <c r="AG93" s="118">
        <f t="shared" si="50"/>
        <v>0</v>
      </c>
      <c r="AH93" s="308">
        <f t="shared" si="50"/>
        <v>1065</v>
      </c>
      <c r="AI93" s="118">
        <f t="shared" si="50"/>
        <v>1065</v>
      </c>
      <c r="AJ93" s="308">
        <f>AJ67+AJ71+AJ81+AJ82+AJ87+AJ91+AJ92</f>
        <v>27395</v>
      </c>
    </row>
    <row r="94" spans="1:36" ht="12">
      <c r="A94" s="115" t="s">
        <v>799</v>
      </c>
      <c r="B94" s="117">
        <v>0</v>
      </c>
      <c r="C94" s="117"/>
      <c r="D94" s="305"/>
      <c r="E94" s="120">
        <f>SUM(B94:D94)</f>
        <v>0</v>
      </c>
      <c r="F94" s="305"/>
      <c r="G94" s="305"/>
      <c r="H94" s="120">
        <f>SUM(F94:G94)</f>
        <v>0</v>
      </c>
      <c r="I94" s="117"/>
      <c r="J94" s="305"/>
      <c r="K94" s="305"/>
      <c r="L94" s="305"/>
      <c r="M94" s="305"/>
      <c r="N94" s="305"/>
      <c r="O94" s="120">
        <f>SUM(I94:N94)</f>
        <v>0</v>
      </c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120">
        <f t="shared" si="39"/>
        <v>0</v>
      </c>
      <c r="AA94" s="305"/>
      <c r="AB94" s="305">
        <f>AA94*iét!$D$226</f>
        <v>0</v>
      </c>
      <c r="AC94" s="305">
        <f>AA94*iét!$D$227</f>
        <v>0</v>
      </c>
      <c r="AD94" s="305">
        <f>AA94*iét!$D$228</f>
        <v>0</v>
      </c>
      <c r="AE94" s="305">
        <f>AA94*iét!$D$229</f>
        <v>0</v>
      </c>
      <c r="AF94" s="120">
        <f t="shared" si="42"/>
        <v>0</v>
      </c>
      <c r="AG94" s="117"/>
      <c r="AH94" s="305"/>
      <c r="AI94" s="120">
        <f>SUM(AG94:AH94)</f>
        <v>0</v>
      </c>
      <c r="AJ94" s="131">
        <f t="shared" si="40"/>
        <v>0</v>
      </c>
    </row>
    <row r="95" spans="1:36" ht="12">
      <c r="A95" s="115" t="s">
        <v>800</v>
      </c>
      <c r="B95" s="117"/>
      <c r="C95" s="117"/>
      <c r="D95" s="305"/>
      <c r="E95" s="120">
        <f>SUM(B95:D95)</f>
        <v>0</v>
      </c>
      <c r="F95" s="305"/>
      <c r="G95" s="305"/>
      <c r="H95" s="120">
        <f>SUM(F95:G95)</f>
        <v>0</v>
      </c>
      <c r="I95" s="117"/>
      <c r="J95" s="305"/>
      <c r="K95" s="305"/>
      <c r="L95" s="305"/>
      <c r="M95" s="305"/>
      <c r="N95" s="305"/>
      <c r="O95" s="120">
        <f>SUM(I95:N95)</f>
        <v>0</v>
      </c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120">
        <f t="shared" si="39"/>
        <v>0</v>
      </c>
      <c r="AA95" s="305"/>
      <c r="AB95" s="305">
        <f>AA95*iét!$D$226</f>
        <v>0</v>
      </c>
      <c r="AC95" s="305">
        <f>AA95*iét!$D$227</f>
        <v>0</v>
      </c>
      <c r="AD95" s="305">
        <f>AA95*iét!$D$228</f>
        <v>0</v>
      </c>
      <c r="AE95" s="305">
        <f>AA95*iét!$D$229</f>
        <v>0</v>
      </c>
      <c r="AF95" s="120">
        <f t="shared" si="42"/>
        <v>0</v>
      </c>
      <c r="AG95" s="117"/>
      <c r="AH95" s="305"/>
      <c r="AI95" s="120">
        <f>SUM(AG95:AH95)</f>
        <v>0</v>
      </c>
      <c r="AJ95" s="131">
        <f t="shared" si="40"/>
        <v>0</v>
      </c>
    </row>
    <row r="96" spans="1:36" ht="11.25" customHeight="1">
      <c r="A96" s="115" t="s">
        <v>801</v>
      </c>
      <c r="B96" s="117"/>
      <c r="C96" s="117"/>
      <c r="D96" s="305"/>
      <c r="E96" s="120">
        <f>SUM(B96:D96)</f>
        <v>0</v>
      </c>
      <c r="F96" s="305"/>
      <c r="G96" s="305"/>
      <c r="H96" s="120">
        <f>SUM(F96:G96)</f>
        <v>0</v>
      </c>
      <c r="I96" s="117"/>
      <c r="J96" s="305"/>
      <c r="K96" s="305"/>
      <c r="L96" s="305"/>
      <c r="M96" s="305"/>
      <c r="N96" s="305"/>
      <c r="O96" s="120">
        <f>SUM(I96:N96)</f>
        <v>0</v>
      </c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120">
        <f t="shared" si="39"/>
        <v>0</v>
      </c>
      <c r="AA96" s="305"/>
      <c r="AB96" s="305">
        <f>AA96*iét!$D$226</f>
        <v>0</v>
      </c>
      <c r="AC96" s="305">
        <f>AA96*iét!$D$227</f>
        <v>0</v>
      </c>
      <c r="AD96" s="305">
        <f>AA96*iét!$D$228</f>
        <v>0</v>
      </c>
      <c r="AE96" s="305">
        <f>AA96*iét!$D$229</f>
        <v>0</v>
      </c>
      <c r="AF96" s="120">
        <f t="shared" si="42"/>
        <v>0</v>
      </c>
      <c r="AG96" s="117"/>
      <c r="AH96" s="305"/>
      <c r="AI96" s="120">
        <f>SUM(AG96:AH96)</f>
        <v>0</v>
      </c>
      <c r="AJ96" s="131">
        <f t="shared" si="40"/>
        <v>0</v>
      </c>
    </row>
    <row r="97" spans="1:36" ht="12">
      <c r="A97" s="115" t="s">
        <v>802</v>
      </c>
      <c r="B97" s="305">
        <v>5206</v>
      </c>
      <c r="C97" s="117"/>
      <c r="D97" s="305"/>
      <c r="E97" s="120">
        <f>SUM(B97:D97)</f>
        <v>5206</v>
      </c>
      <c r="F97" s="305"/>
      <c r="G97" s="305"/>
      <c r="H97" s="120">
        <f>SUM(F97:G97)</f>
        <v>0</v>
      </c>
      <c r="I97" s="117"/>
      <c r="J97" s="305"/>
      <c r="K97" s="305"/>
      <c r="L97" s="305"/>
      <c r="M97" s="305"/>
      <c r="N97" s="305"/>
      <c r="O97" s="120">
        <f>SUM(I97:N97)</f>
        <v>0</v>
      </c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120">
        <f t="shared" si="39"/>
        <v>0</v>
      </c>
      <c r="AA97" s="305"/>
      <c r="AB97" s="305">
        <f>AA97*iét!$D$226</f>
        <v>0</v>
      </c>
      <c r="AC97" s="305">
        <f>AA97*iét!$D$227</f>
        <v>0</v>
      </c>
      <c r="AD97" s="305">
        <f>AA97*iét!$D$228</f>
        <v>0</v>
      </c>
      <c r="AE97" s="305">
        <f>AA97*iét!$D$229</f>
        <v>0</v>
      </c>
      <c r="AF97" s="120">
        <f t="shared" si="42"/>
        <v>0</v>
      </c>
      <c r="AG97" s="117"/>
      <c r="AH97" s="305"/>
      <c r="AI97" s="120">
        <f>SUM(AG97:AH97)</f>
        <v>0</v>
      </c>
      <c r="AJ97" s="346">
        <f t="shared" si="40"/>
        <v>5206</v>
      </c>
    </row>
    <row r="98" spans="1:36" ht="12">
      <c r="A98" s="121" t="s">
        <v>805</v>
      </c>
      <c r="B98" s="307">
        <f aca="true" t="shared" si="51" ref="B98:AJ98">SUM(B94:B97)</f>
        <v>5206</v>
      </c>
      <c r="C98" s="122"/>
      <c r="D98" s="307">
        <f t="shared" si="51"/>
        <v>0</v>
      </c>
      <c r="E98" s="122">
        <f t="shared" si="51"/>
        <v>5206</v>
      </c>
      <c r="F98" s="307">
        <f>SUM(F94:F97)</f>
        <v>0</v>
      </c>
      <c r="G98" s="307">
        <f t="shared" si="51"/>
        <v>0</v>
      </c>
      <c r="H98" s="122">
        <f t="shared" si="51"/>
        <v>0</v>
      </c>
      <c r="I98" s="122">
        <f t="shared" si="51"/>
        <v>0</v>
      </c>
      <c r="J98" s="307">
        <f t="shared" si="51"/>
        <v>0</v>
      </c>
      <c r="K98" s="307">
        <f t="shared" si="51"/>
        <v>0</v>
      </c>
      <c r="L98" s="307">
        <f t="shared" si="51"/>
        <v>0</v>
      </c>
      <c r="M98" s="307">
        <f t="shared" si="51"/>
        <v>0</v>
      </c>
      <c r="N98" s="307">
        <f t="shared" si="51"/>
        <v>0</v>
      </c>
      <c r="O98" s="122">
        <f t="shared" si="51"/>
        <v>0</v>
      </c>
      <c r="P98" s="307">
        <f t="shared" si="51"/>
        <v>0</v>
      </c>
      <c r="Q98" s="307">
        <f t="shared" si="51"/>
        <v>0</v>
      </c>
      <c r="R98" s="307">
        <f t="shared" si="51"/>
        <v>0</v>
      </c>
      <c r="S98" s="307">
        <f t="shared" si="51"/>
        <v>0</v>
      </c>
      <c r="T98" s="307">
        <f>SUM(T94:T97)</f>
        <v>0</v>
      </c>
      <c r="U98" s="307">
        <f>SUM(U94:U97)</f>
        <v>0</v>
      </c>
      <c r="V98" s="307">
        <f>SUM(V94:V97)</f>
        <v>0</v>
      </c>
      <c r="W98" s="307"/>
      <c r="X98" s="307"/>
      <c r="Y98" s="307">
        <f>SUM(Y94:Y97)</f>
        <v>0</v>
      </c>
      <c r="Z98" s="122">
        <f t="shared" si="51"/>
        <v>0</v>
      </c>
      <c r="AA98" s="307">
        <f t="shared" si="51"/>
        <v>0</v>
      </c>
      <c r="AB98" s="307">
        <f t="shared" si="51"/>
        <v>0</v>
      </c>
      <c r="AC98" s="307">
        <f t="shared" si="51"/>
        <v>0</v>
      </c>
      <c r="AD98" s="307">
        <f t="shared" si="51"/>
        <v>0</v>
      </c>
      <c r="AE98" s="307">
        <f>SUM(AE94:AE97)</f>
        <v>0</v>
      </c>
      <c r="AF98" s="122">
        <f>SUM(AF94:AF97)</f>
        <v>0</v>
      </c>
      <c r="AG98" s="122">
        <f t="shared" si="51"/>
        <v>0</v>
      </c>
      <c r="AH98" s="307">
        <f t="shared" si="51"/>
        <v>0</v>
      </c>
      <c r="AI98" s="122">
        <f t="shared" si="51"/>
        <v>0</v>
      </c>
      <c r="AJ98" s="307">
        <f t="shared" si="51"/>
        <v>5206</v>
      </c>
    </row>
    <row r="99" spans="1:36" ht="12">
      <c r="A99" s="115" t="s">
        <v>806</v>
      </c>
      <c r="B99" s="117">
        <v>0</v>
      </c>
      <c r="C99" s="117"/>
      <c r="D99" s="305"/>
      <c r="E99" s="120">
        <f>SUM(B99:D99)</f>
        <v>0</v>
      </c>
      <c r="F99" s="305"/>
      <c r="G99" s="305"/>
      <c r="H99" s="120">
        <f>SUM(F99:G99)</f>
        <v>0</v>
      </c>
      <c r="I99" s="117"/>
      <c r="J99" s="305"/>
      <c r="K99" s="305"/>
      <c r="L99" s="305"/>
      <c r="M99" s="305"/>
      <c r="N99" s="305"/>
      <c r="O99" s="120">
        <f>SUM(I99:N99)</f>
        <v>0</v>
      </c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120">
        <f t="shared" si="39"/>
        <v>0</v>
      </c>
      <c r="AA99" s="305"/>
      <c r="AB99" s="305">
        <f>AA99*iét!$D$226</f>
        <v>0</v>
      </c>
      <c r="AC99" s="305">
        <f>AA99*iét!$D$227</f>
        <v>0</v>
      </c>
      <c r="AD99" s="305">
        <f>AA99*iét!$D$228</f>
        <v>0</v>
      </c>
      <c r="AE99" s="305">
        <f>AA99*iét!$D$229</f>
        <v>0</v>
      </c>
      <c r="AF99" s="120">
        <f t="shared" si="42"/>
        <v>0</v>
      </c>
      <c r="AG99" s="117"/>
      <c r="AH99" s="305"/>
      <c r="AI99" s="120">
        <f>SUM(AG99:AH99)</f>
        <v>0</v>
      </c>
      <c r="AJ99" s="131">
        <f t="shared" si="40"/>
        <v>0</v>
      </c>
    </row>
    <row r="100" spans="1:36" ht="12">
      <c r="A100" s="115" t="s">
        <v>807</v>
      </c>
      <c r="B100" s="117"/>
      <c r="C100" s="117"/>
      <c r="D100" s="305"/>
      <c r="E100" s="120">
        <f>SUM(B100:D100)</f>
        <v>0</v>
      </c>
      <c r="F100" s="305"/>
      <c r="G100" s="305"/>
      <c r="H100" s="120">
        <f>SUM(F100:G100)</f>
        <v>0</v>
      </c>
      <c r="I100" s="117"/>
      <c r="J100" s="305"/>
      <c r="K100" s="305"/>
      <c r="L100" s="305"/>
      <c r="M100" s="305"/>
      <c r="N100" s="305"/>
      <c r="O100" s="120">
        <f>SUM(I100:N100)</f>
        <v>0</v>
      </c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120">
        <f t="shared" si="39"/>
        <v>0</v>
      </c>
      <c r="AA100" s="305"/>
      <c r="AB100" s="305">
        <f>AA100*iét!$D$226</f>
        <v>0</v>
      </c>
      <c r="AC100" s="305">
        <f>AA100*iét!$D$227</f>
        <v>0</v>
      </c>
      <c r="AD100" s="305">
        <f>AA100*iét!$D$228</f>
        <v>0</v>
      </c>
      <c r="AE100" s="305">
        <f>AA100*iét!$D$229</f>
        <v>0</v>
      </c>
      <c r="AF100" s="120">
        <f t="shared" si="42"/>
        <v>0</v>
      </c>
      <c r="AG100" s="117"/>
      <c r="AH100" s="305"/>
      <c r="AI100" s="120">
        <f>SUM(AG100:AH100)</f>
        <v>0</v>
      </c>
      <c r="AJ100" s="131">
        <f t="shared" si="40"/>
        <v>0</v>
      </c>
    </row>
    <row r="101" spans="1:36" ht="12">
      <c r="A101" s="115" t="s">
        <v>808</v>
      </c>
      <c r="B101" s="305">
        <f>hiv!D172</f>
        <v>1300</v>
      </c>
      <c r="C101" s="117"/>
      <c r="D101" s="305"/>
      <c r="E101" s="120">
        <f>SUM(B101:D101)</f>
        <v>1300</v>
      </c>
      <c r="F101" s="305"/>
      <c r="G101" s="305"/>
      <c r="H101" s="120">
        <f>SUM(F101:G101)</f>
        <v>0</v>
      </c>
      <c r="I101" s="117"/>
      <c r="J101" s="305"/>
      <c r="K101" s="305"/>
      <c r="L101" s="305"/>
      <c r="M101" s="305"/>
      <c r="N101" s="305"/>
      <c r="O101" s="120">
        <f>SUM(I101:N101)</f>
        <v>0</v>
      </c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120">
        <f t="shared" si="39"/>
        <v>0</v>
      </c>
      <c r="AA101" s="305"/>
      <c r="AB101" s="305">
        <f>AA101*iét!$D$226</f>
        <v>0</v>
      </c>
      <c r="AC101" s="305">
        <f>AA101*iét!$D$227</f>
        <v>0</v>
      </c>
      <c r="AD101" s="305">
        <f>AA101*iét!$D$228</f>
        <v>0</v>
      </c>
      <c r="AE101" s="305">
        <f>AA101*iét!$D$229</f>
        <v>0</v>
      </c>
      <c r="AF101" s="120">
        <f t="shared" si="42"/>
        <v>0</v>
      </c>
      <c r="AG101" s="117"/>
      <c r="AH101" s="305"/>
      <c r="AI101" s="120">
        <f>SUM(AG101:AH101)</f>
        <v>0</v>
      </c>
      <c r="AJ101" s="346">
        <f t="shared" si="40"/>
        <v>1300</v>
      </c>
    </row>
    <row r="102" spans="1:36" ht="12">
      <c r="A102" s="121" t="s">
        <v>808</v>
      </c>
      <c r="B102" s="307">
        <f aca="true" t="shared" si="52" ref="B102:AJ102">SUM(B99:B101)</f>
        <v>1300</v>
      </c>
      <c r="C102" s="122"/>
      <c r="D102" s="307">
        <f t="shared" si="52"/>
        <v>0</v>
      </c>
      <c r="E102" s="122">
        <f t="shared" si="52"/>
        <v>1300</v>
      </c>
      <c r="F102" s="307">
        <f>SUM(F99:F101)</f>
        <v>0</v>
      </c>
      <c r="G102" s="307">
        <f t="shared" si="52"/>
        <v>0</v>
      </c>
      <c r="H102" s="122">
        <f t="shared" si="52"/>
        <v>0</v>
      </c>
      <c r="I102" s="122">
        <f t="shared" si="52"/>
        <v>0</v>
      </c>
      <c r="J102" s="307">
        <f t="shared" si="52"/>
        <v>0</v>
      </c>
      <c r="K102" s="307">
        <f t="shared" si="52"/>
        <v>0</v>
      </c>
      <c r="L102" s="307">
        <f t="shared" si="52"/>
        <v>0</v>
      </c>
      <c r="M102" s="307">
        <f t="shared" si="52"/>
        <v>0</v>
      </c>
      <c r="N102" s="307">
        <f t="shared" si="52"/>
        <v>0</v>
      </c>
      <c r="O102" s="122">
        <f t="shared" si="52"/>
        <v>0</v>
      </c>
      <c r="P102" s="307">
        <f t="shared" si="52"/>
        <v>0</v>
      </c>
      <c r="Q102" s="307">
        <f t="shared" si="52"/>
        <v>0</v>
      </c>
      <c r="R102" s="307">
        <f t="shared" si="52"/>
        <v>0</v>
      </c>
      <c r="S102" s="307">
        <f t="shared" si="52"/>
        <v>0</v>
      </c>
      <c r="T102" s="307">
        <f>SUM(T99:T101)</f>
        <v>0</v>
      </c>
      <c r="U102" s="307">
        <f>SUM(U99:U101)</f>
        <v>0</v>
      </c>
      <c r="V102" s="307">
        <f>SUM(V99:V101)</f>
        <v>0</v>
      </c>
      <c r="W102" s="307"/>
      <c r="X102" s="307"/>
      <c r="Y102" s="307">
        <f>SUM(Y99:Y101)</f>
        <v>0</v>
      </c>
      <c r="Z102" s="122">
        <f t="shared" si="52"/>
        <v>0</v>
      </c>
      <c r="AA102" s="307">
        <f t="shared" si="52"/>
        <v>0</v>
      </c>
      <c r="AB102" s="307">
        <f t="shared" si="52"/>
        <v>0</v>
      </c>
      <c r="AC102" s="307">
        <f t="shared" si="52"/>
        <v>0</v>
      </c>
      <c r="AD102" s="307">
        <f t="shared" si="52"/>
        <v>0</v>
      </c>
      <c r="AE102" s="307">
        <f>SUM(AE99:AE101)</f>
        <v>0</v>
      </c>
      <c r="AF102" s="122">
        <f>SUM(AF99:AF101)</f>
        <v>0</v>
      </c>
      <c r="AG102" s="122">
        <f t="shared" si="52"/>
        <v>0</v>
      </c>
      <c r="AH102" s="307">
        <f t="shared" si="52"/>
        <v>0</v>
      </c>
      <c r="AI102" s="122">
        <f t="shared" si="52"/>
        <v>0</v>
      </c>
      <c r="AJ102" s="307">
        <f t="shared" si="52"/>
        <v>1300</v>
      </c>
    </row>
    <row r="103" spans="1:36" ht="12">
      <c r="A103" s="115" t="s">
        <v>809</v>
      </c>
      <c r="B103" s="305">
        <f>hiv!D181</f>
        <v>2740</v>
      </c>
      <c r="C103" s="117"/>
      <c r="D103" s="305"/>
      <c r="E103" s="120">
        <f>SUM(B103:D103)</f>
        <v>2740</v>
      </c>
      <c r="F103" s="305"/>
      <c r="G103" s="305"/>
      <c r="H103" s="120">
        <f>SUM(F103:G103)</f>
        <v>0</v>
      </c>
      <c r="I103" s="117"/>
      <c r="J103" s="305"/>
      <c r="K103" s="305"/>
      <c r="L103" s="305"/>
      <c r="M103" s="305"/>
      <c r="N103" s="305"/>
      <c r="O103" s="120">
        <f>SUM(I103:N103)</f>
        <v>0</v>
      </c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120">
        <f>SUM(P103:Y103)</f>
        <v>0</v>
      </c>
      <c r="AA103" s="305"/>
      <c r="AB103" s="305">
        <f>AA103*iét!$D$226</f>
        <v>0</v>
      </c>
      <c r="AC103" s="305">
        <f>AA103*iét!$D$227</f>
        <v>0</v>
      </c>
      <c r="AD103" s="305">
        <f>AA103*iét!$D$228</f>
        <v>0</v>
      </c>
      <c r="AE103" s="305">
        <f>AA103*iét!$D$229</f>
        <v>0</v>
      </c>
      <c r="AF103" s="120">
        <f t="shared" si="42"/>
        <v>0</v>
      </c>
      <c r="AG103" s="117"/>
      <c r="AH103" s="305"/>
      <c r="AI103" s="120">
        <f>SUM(AG103:AH103)</f>
        <v>0</v>
      </c>
      <c r="AJ103" s="346">
        <f t="shared" si="40"/>
        <v>2740</v>
      </c>
    </row>
    <row r="104" spans="1:36" ht="12">
      <c r="A104" s="115" t="s">
        <v>810</v>
      </c>
      <c r="B104" s="117"/>
      <c r="C104" s="117"/>
      <c r="D104" s="305"/>
      <c r="E104" s="120">
        <f>SUM(B104:D104)</f>
        <v>0</v>
      </c>
      <c r="F104" s="305"/>
      <c r="G104" s="305"/>
      <c r="H104" s="120">
        <f>SUM(F104:G104)</f>
        <v>0</v>
      </c>
      <c r="I104" s="117"/>
      <c r="J104" s="305"/>
      <c r="K104" s="305"/>
      <c r="L104" s="305"/>
      <c r="M104" s="305"/>
      <c r="N104" s="305"/>
      <c r="O104" s="120">
        <f>SUM(I104:N104)</f>
        <v>0</v>
      </c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120">
        <f>SUM(P104:Y104)</f>
        <v>0</v>
      </c>
      <c r="AA104" s="305"/>
      <c r="AB104" s="305">
        <f>AA104*iét!$D$226</f>
        <v>0</v>
      </c>
      <c r="AC104" s="305">
        <f>AA104*iét!$D$227</f>
        <v>0</v>
      </c>
      <c r="AD104" s="305">
        <f>AA104*iét!$D$228</f>
        <v>0</v>
      </c>
      <c r="AE104" s="305">
        <f>AA104*iét!$D$229</f>
        <v>0</v>
      </c>
      <c r="AF104" s="120">
        <f t="shared" si="42"/>
        <v>0</v>
      </c>
      <c r="AG104" s="117"/>
      <c r="AH104" s="305"/>
      <c r="AI104" s="120">
        <f>SUM(AG104:AH104)</f>
        <v>0</v>
      </c>
      <c r="AJ104" s="346">
        <f t="shared" si="40"/>
        <v>0</v>
      </c>
    </row>
    <row r="105" spans="1:36" ht="12">
      <c r="A105" s="121" t="s">
        <v>811</v>
      </c>
      <c r="B105" s="307">
        <f aca="true" t="shared" si="53" ref="B105:AJ105">SUM(B103:B104)</f>
        <v>2740</v>
      </c>
      <c r="C105" s="122"/>
      <c r="D105" s="307">
        <f t="shared" si="53"/>
        <v>0</v>
      </c>
      <c r="E105" s="122">
        <f t="shared" si="53"/>
        <v>2740</v>
      </c>
      <c r="F105" s="307">
        <f t="shared" si="53"/>
        <v>0</v>
      </c>
      <c r="G105" s="307">
        <f t="shared" si="53"/>
        <v>0</v>
      </c>
      <c r="H105" s="122">
        <f t="shared" si="53"/>
        <v>0</v>
      </c>
      <c r="I105" s="122">
        <f t="shared" si="53"/>
        <v>0</v>
      </c>
      <c r="J105" s="307">
        <f t="shared" si="53"/>
        <v>0</v>
      </c>
      <c r="K105" s="307">
        <f t="shared" si="53"/>
        <v>0</v>
      </c>
      <c r="L105" s="307">
        <f t="shared" si="53"/>
        <v>0</v>
      </c>
      <c r="M105" s="307">
        <f t="shared" si="53"/>
        <v>0</v>
      </c>
      <c r="N105" s="307">
        <f t="shared" si="53"/>
        <v>0</v>
      </c>
      <c r="O105" s="122">
        <f t="shared" si="53"/>
        <v>0</v>
      </c>
      <c r="P105" s="307">
        <f t="shared" si="53"/>
        <v>0</v>
      </c>
      <c r="Q105" s="307">
        <f t="shared" si="53"/>
        <v>0</v>
      </c>
      <c r="R105" s="307">
        <f t="shared" si="53"/>
        <v>0</v>
      </c>
      <c r="S105" s="307">
        <f t="shared" si="53"/>
        <v>0</v>
      </c>
      <c r="T105" s="307">
        <f>SUM(T103:T104)</f>
        <v>0</v>
      </c>
      <c r="U105" s="307">
        <f>SUM(U103:U104)</f>
        <v>0</v>
      </c>
      <c r="V105" s="307">
        <f>SUM(V103:V104)</f>
        <v>0</v>
      </c>
      <c r="W105" s="307"/>
      <c r="X105" s="307"/>
      <c r="Y105" s="307">
        <f>SUM(Y103:Y104)</f>
        <v>0</v>
      </c>
      <c r="Z105" s="122">
        <f t="shared" si="53"/>
        <v>0</v>
      </c>
      <c r="AA105" s="307">
        <f t="shared" si="53"/>
        <v>0</v>
      </c>
      <c r="AB105" s="307">
        <f t="shared" si="53"/>
        <v>0</v>
      </c>
      <c r="AC105" s="307">
        <f t="shared" si="53"/>
        <v>0</v>
      </c>
      <c r="AD105" s="307">
        <f t="shared" si="53"/>
        <v>0</v>
      </c>
      <c r="AE105" s="307">
        <f>SUM(AE103:AE104)</f>
        <v>0</v>
      </c>
      <c r="AF105" s="122">
        <f>SUM(AF103:AF104)</f>
        <v>0</v>
      </c>
      <c r="AG105" s="122">
        <f t="shared" si="53"/>
        <v>0</v>
      </c>
      <c r="AH105" s="307">
        <f t="shared" si="53"/>
        <v>0</v>
      </c>
      <c r="AI105" s="122">
        <f t="shared" si="53"/>
        <v>0</v>
      </c>
      <c r="AJ105" s="307">
        <f t="shared" si="53"/>
        <v>2740</v>
      </c>
    </row>
    <row r="106" spans="1:36" ht="12">
      <c r="A106" s="116" t="s">
        <v>812</v>
      </c>
      <c r="B106" s="308">
        <f>B98+B102+B105</f>
        <v>9246</v>
      </c>
      <c r="C106" s="118"/>
      <c r="D106" s="308">
        <f aca="true" t="shared" si="54" ref="D106:AJ106">D98+D102+D105</f>
        <v>0</v>
      </c>
      <c r="E106" s="118">
        <f t="shared" si="54"/>
        <v>9246</v>
      </c>
      <c r="F106" s="308">
        <f t="shared" si="54"/>
        <v>0</v>
      </c>
      <c r="G106" s="308">
        <f t="shared" si="54"/>
        <v>0</v>
      </c>
      <c r="H106" s="118">
        <f t="shared" si="54"/>
        <v>0</v>
      </c>
      <c r="I106" s="118">
        <f t="shared" si="54"/>
        <v>0</v>
      </c>
      <c r="J106" s="308">
        <f t="shared" si="54"/>
        <v>0</v>
      </c>
      <c r="K106" s="308">
        <f t="shared" si="54"/>
        <v>0</v>
      </c>
      <c r="L106" s="308">
        <f t="shared" si="54"/>
        <v>0</v>
      </c>
      <c r="M106" s="308">
        <f t="shared" si="54"/>
        <v>0</v>
      </c>
      <c r="N106" s="308">
        <f t="shared" si="54"/>
        <v>0</v>
      </c>
      <c r="O106" s="118">
        <f t="shared" si="54"/>
        <v>0</v>
      </c>
      <c r="P106" s="308">
        <f t="shared" si="54"/>
        <v>0</v>
      </c>
      <c r="Q106" s="308">
        <f t="shared" si="54"/>
        <v>0</v>
      </c>
      <c r="R106" s="308">
        <f t="shared" si="54"/>
        <v>0</v>
      </c>
      <c r="S106" s="308">
        <f t="shared" si="54"/>
        <v>0</v>
      </c>
      <c r="T106" s="308">
        <f>T98+T102+T105</f>
        <v>0</v>
      </c>
      <c r="U106" s="308">
        <f>U98+U102+U105</f>
        <v>0</v>
      </c>
      <c r="V106" s="308">
        <f>V98+V102+V105</f>
        <v>0</v>
      </c>
      <c r="W106" s="308"/>
      <c r="X106" s="308"/>
      <c r="Y106" s="308">
        <f>Y98+Y102+Y105</f>
        <v>0</v>
      </c>
      <c r="Z106" s="118">
        <f t="shared" si="54"/>
        <v>0</v>
      </c>
      <c r="AA106" s="308">
        <f t="shared" si="54"/>
        <v>0</v>
      </c>
      <c r="AB106" s="308">
        <f t="shared" si="54"/>
        <v>0</v>
      </c>
      <c r="AC106" s="308">
        <f t="shared" si="54"/>
        <v>0</v>
      </c>
      <c r="AD106" s="308">
        <f t="shared" si="54"/>
        <v>0</v>
      </c>
      <c r="AE106" s="308">
        <f>AE98+AE102+AE105</f>
        <v>0</v>
      </c>
      <c r="AF106" s="118">
        <f>AF98+AF102+AF105</f>
        <v>0</v>
      </c>
      <c r="AG106" s="118">
        <f t="shared" si="54"/>
        <v>0</v>
      </c>
      <c r="AH106" s="308">
        <f t="shared" si="54"/>
        <v>0</v>
      </c>
      <c r="AI106" s="118">
        <f t="shared" si="54"/>
        <v>0</v>
      </c>
      <c r="AJ106" s="308">
        <f t="shared" si="54"/>
        <v>9246</v>
      </c>
    </row>
    <row r="107" spans="1:36" ht="12">
      <c r="A107" s="136" t="s">
        <v>813</v>
      </c>
      <c r="B107" s="137">
        <f>B93+B106</f>
        <v>16056</v>
      </c>
      <c r="C107" s="137"/>
      <c r="D107" s="309">
        <f aca="true" t="shared" si="55" ref="D107:AJ107">D93+D106</f>
        <v>0</v>
      </c>
      <c r="E107" s="137">
        <f t="shared" si="55"/>
        <v>16056</v>
      </c>
      <c r="F107" s="309">
        <f t="shared" si="55"/>
        <v>4595</v>
      </c>
      <c r="G107" s="309">
        <f t="shared" si="55"/>
        <v>1136</v>
      </c>
      <c r="H107" s="137">
        <f t="shared" si="55"/>
        <v>5731</v>
      </c>
      <c r="I107" s="137">
        <f t="shared" si="55"/>
        <v>0</v>
      </c>
      <c r="J107" s="309">
        <f t="shared" si="55"/>
        <v>113</v>
      </c>
      <c r="K107" s="309">
        <f t="shared" si="55"/>
        <v>90</v>
      </c>
      <c r="L107" s="309">
        <f t="shared" si="55"/>
        <v>1990</v>
      </c>
      <c r="M107" s="309">
        <f t="shared" si="55"/>
        <v>2000</v>
      </c>
      <c r="N107" s="309">
        <f t="shared" si="55"/>
        <v>151</v>
      </c>
      <c r="O107" s="137">
        <f t="shared" si="55"/>
        <v>4344</v>
      </c>
      <c r="P107" s="309">
        <f t="shared" si="55"/>
        <v>0</v>
      </c>
      <c r="Q107" s="309">
        <f t="shared" si="55"/>
        <v>0</v>
      </c>
      <c r="R107" s="309">
        <f t="shared" si="55"/>
        <v>375</v>
      </c>
      <c r="S107" s="309">
        <f t="shared" si="55"/>
        <v>0</v>
      </c>
      <c r="T107" s="309">
        <f>T93+T106</f>
        <v>0</v>
      </c>
      <c r="U107" s="309">
        <f>U93+U106</f>
        <v>0</v>
      </c>
      <c r="V107" s="309">
        <f>V93+V106</f>
        <v>0</v>
      </c>
      <c r="W107" s="309"/>
      <c r="X107" s="309"/>
      <c r="Y107" s="309">
        <f>Y93+Y106</f>
        <v>270</v>
      </c>
      <c r="Z107" s="137">
        <f t="shared" si="55"/>
        <v>645</v>
      </c>
      <c r="AA107" s="309">
        <f t="shared" si="55"/>
        <v>8800</v>
      </c>
      <c r="AB107" s="309">
        <f t="shared" si="55"/>
        <v>1399.6670883921236</v>
      </c>
      <c r="AC107" s="309">
        <f t="shared" si="55"/>
        <v>4287.091581900977</v>
      </c>
      <c r="AD107" s="309">
        <f t="shared" si="55"/>
        <v>1202.4455020251544</v>
      </c>
      <c r="AE107" s="309">
        <f>AE93+AE106</f>
        <v>1910.7958276817435</v>
      </c>
      <c r="AF107" s="137">
        <f>AF93+AF106</f>
        <v>8800</v>
      </c>
      <c r="AG107" s="137">
        <f t="shared" si="55"/>
        <v>0</v>
      </c>
      <c r="AH107" s="309">
        <f t="shared" si="55"/>
        <v>1065</v>
      </c>
      <c r="AI107" s="137">
        <f t="shared" si="55"/>
        <v>1065</v>
      </c>
      <c r="AJ107" s="309">
        <f t="shared" si="55"/>
        <v>36641</v>
      </c>
    </row>
    <row r="108" spans="1:36" ht="12">
      <c r="A108" s="115" t="s">
        <v>814</v>
      </c>
      <c r="B108" s="117"/>
      <c r="C108" s="117"/>
      <c r="D108" s="305"/>
      <c r="E108" s="120">
        <f aca="true" t="shared" si="56" ref="E108:E126">SUM(B108:D108)</f>
        <v>0</v>
      </c>
      <c r="F108" s="305"/>
      <c r="G108" s="305"/>
      <c r="H108" s="120">
        <f aca="true" t="shared" si="57" ref="H108:H126">SUM(F108:G108)</f>
        <v>0</v>
      </c>
      <c r="I108" s="117"/>
      <c r="J108" s="305"/>
      <c r="K108" s="305"/>
      <c r="L108" s="305"/>
      <c r="M108" s="305"/>
      <c r="N108" s="305"/>
      <c r="O108" s="120">
        <f aca="true" t="shared" si="58" ref="O108:O126">SUM(I108:N108)</f>
        <v>0</v>
      </c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120">
        <f aca="true" t="shared" si="59" ref="Z108:Z126">SUM(P108:Y108)</f>
        <v>0</v>
      </c>
      <c r="AA108" s="305"/>
      <c r="AB108" s="305">
        <f>AA108*iét!$D$226</f>
        <v>0</v>
      </c>
      <c r="AC108" s="305">
        <f>AA108*iét!$D$227</f>
        <v>0</v>
      </c>
      <c r="AD108" s="305">
        <f>AA108*iét!$D$228</f>
        <v>0</v>
      </c>
      <c r="AE108" s="305">
        <f>AA108*iét!$D$229</f>
        <v>0</v>
      </c>
      <c r="AF108" s="120">
        <f t="shared" si="42"/>
        <v>0</v>
      </c>
      <c r="AG108" s="117">
        <f>elsz!$D$9</f>
        <v>0</v>
      </c>
      <c r="AH108" s="305"/>
      <c r="AI108" s="120">
        <f aca="true" t="shared" si="60" ref="AI108:AI126">SUM(AG108:AH108)</f>
        <v>0</v>
      </c>
      <c r="AJ108" s="131">
        <f aca="true" t="shared" si="61" ref="AJ108:AJ128">E108+H108+O108+Z108+AF108+AI108</f>
        <v>0</v>
      </c>
    </row>
    <row r="109" spans="1:36" ht="12">
      <c r="A109" s="115" t="s">
        <v>815</v>
      </c>
      <c r="B109" s="305">
        <f>hiv!D32</f>
        <v>210</v>
      </c>
      <c r="C109" s="117"/>
      <c r="D109" s="305"/>
      <c r="E109" s="120">
        <f t="shared" si="56"/>
        <v>210</v>
      </c>
      <c r="F109" s="305"/>
      <c r="G109" s="305"/>
      <c r="H109" s="120">
        <f t="shared" si="57"/>
        <v>0</v>
      </c>
      <c r="I109" s="117"/>
      <c r="J109" s="305"/>
      <c r="K109" s="305"/>
      <c r="L109" s="305"/>
      <c r="M109" s="305"/>
      <c r="N109" s="305"/>
      <c r="O109" s="120">
        <f t="shared" si="58"/>
        <v>0</v>
      </c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120">
        <f t="shared" si="59"/>
        <v>0</v>
      </c>
      <c r="AA109" s="305"/>
      <c r="AB109" s="305">
        <f>AA109*iét!$D$226</f>
        <v>0</v>
      </c>
      <c r="AC109" s="305">
        <f>AA109*iét!$D$227</f>
        <v>0</v>
      </c>
      <c r="AD109" s="305">
        <f>AA109*iét!$D$228</f>
        <v>0</v>
      </c>
      <c r="AE109" s="305">
        <f>AA109*iét!$D$229</f>
        <v>0</v>
      </c>
      <c r="AF109" s="120">
        <f t="shared" si="42"/>
        <v>0</v>
      </c>
      <c r="AG109" s="117"/>
      <c r="AH109" s="305"/>
      <c r="AI109" s="120">
        <f t="shared" si="60"/>
        <v>0</v>
      </c>
      <c r="AJ109" s="346">
        <f t="shared" si="61"/>
        <v>210</v>
      </c>
    </row>
    <row r="110" spans="1:36" ht="12">
      <c r="A110" s="115" t="s">
        <v>816</v>
      </c>
      <c r="B110" s="305">
        <f>hiv!D25</f>
        <v>23587</v>
      </c>
      <c r="C110" s="117"/>
      <c r="D110" s="305"/>
      <c r="E110" s="120">
        <f t="shared" si="56"/>
        <v>23587</v>
      </c>
      <c r="F110" s="305"/>
      <c r="G110" s="305"/>
      <c r="H110" s="120">
        <f t="shared" si="57"/>
        <v>0</v>
      </c>
      <c r="I110" s="117"/>
      <c r="J110" s="305"/>
      <c r="K110" s="305"/>
      <c r="L110" s="305"/>
      <c r="M110" s="305"/>
      <c r="N110" s="305"/>
      <c r="O110" s="120">
        <f t="shared" si="58"/>
        <v>0</v>
      </c>
      <c r="P110" s="305"/>
      <c r="Q110" s="305">
        <f>fsp!$D$91</f>
        <v>2577</v>
      </c>
      <c r="R110" s="305"/>
      <c r="S110" s="305">
        <f>fsp!$D$201</f>
        <v>1531</v>
      </c>
      <c r="T110" s="305"/>
      <c r="U110" s="305"/>
      <c r="V110" s="305"/>
      <c r="W110" s="305"/>
      <c r="X110" s="305"/>
      <c r="Y110" s="305">
        <v>25</v>
      </c>
      <c r="Z110" s="120">
        <f t="shared" si="59"/>
        <v>4133</v>
      </c>
      <c r="AA110" s="305"/>
      <c r="AB110" s="305">
        <f>AA110*iét!$D$226</f>
        <v>0</v>
      </c>
      <c r="AC110" s="305">
        <f>AA110*iét!$D$227</f>
        <v>0</v>
      </c>
      <c r="AD110" s="305">
        <f>AA110*iét!$D$228</f>
        <v>0</v>
      </c>
      <c r="AE110" s="305">
        <f>AA110*iét!$D$229</f>
        <v>0</v>
      </c>
      <c r="AF110" s="120">
        <f t="shared" si="42"/>
        <v>0</v>
      </c>
      <c r="AG110" s="117"/>
      <c r="AH110" s="305">
        <f>elsz!$D$24</f>
        <v>45</v>
      </c>
      <c r="AI110" s="120">
        <f t="shared" si="60"/>
        <v>45</v>
      </c>
      <c r="AJ110" s="346">
        <f t="shared" si="61"/>
        <v>27765</v>
      </c>
    </row>
    <row r="111" spans="1:36" ht="12">
      <c r="A111" s="115" t="s">
        <v>817</v>
      </c>
      <c r="B111" s="305">
        <f>hiv!D36</f>
        <v>566</v>
      </c>
      <c r="C111" s="117"/>
      <c r="D111" s="305"/>
      <c r="E111" s="120">
        <f t="shared" si="56"/>
        <v>566</v>
      </c>
      <c r="F111" s="305"/>
      <c r="G111" s="305"/>
      <c r="H111" s="120">
        <f t="shared" si="57"/>
        <v>0</v>
      </c>
      <c r="I111" s="117"/>
      <c r="J111" s="305"/>
      <c r="K111" s="305"/>
      <c r="L111" s="305"/>
      <c r="M111" s="305"/>
      <c r="N111" s="305"/>
      <c r="O111" s="120">
        <f t="shared" si="58"/>
        <v>0</v>
      </c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120">
        <f t="shared" si="59"/>
        <v>0</v>
      </c>
      <c r="AA111" s="305"/>
      <c r="AB111" s="305">
        <f>AA111*iét!$D$226</f>
        <v>0</v>
      </c>
      <c r="AC111" s="305">
        <f>AA111*iét!$D$227</f>
        <v>0</v>
      </c>
      <c r="AD111" s="305">
        <f>AA111*iét!$D$228</f>
        <v>0</v>
      </c>
      <c r="AE111" s="305">
        <f>AA111*iét!$D$229</f>
        <v>0</v>
      </c>
      <c r="AF111" s="120">
        <f t="shared" si="42"/>
        <v>0</v>
      </c>
      <c r="AG111" s="117"/>
      <c r="AH111" s="305"/>
      <c r="AI111" s="120">
        <f t="shared" si="60"/>
        <v>0</v>
      </c>
      <c r="AJ111" s="346">
        <f t="shared" si="61"/>
        <v>566</v>
      </c>
    </row>
    <row r="112" spans="1:36" ht="12">
      <c r="A112" s="115" t="s">
        <v>1559</v>
      </c>
      <c r="B112" s="305">
        <f>hiv!D38</f>
        <v>577</v>
      </c>
      <c r="C112" s="117"/>
      <c r="D112" s="305"/>
      <c r="E112" s="120">
        <f t="shared" si="56"/>
        <v>577</v>
      </c>
      <c r="F112" s="305"/>
      <c r="G112" s="305"/>
      <c r="H112" s="120">
        <f t="shared" si="57"/>
        <v>0</v>
      </c>
      <c r="I112" s="117"/>
      <c r="J112" s="305">
        <f>teü!$D$105</f>
        <v>0</v>
      </c>
      <c r="K112" s="305"/>
      <c r="L112" s="305"/>
      <c r="M112" s="305"/>
      <c r="N112" s="305"/>
      <c r="O112" s="120">
        <f t="shared" si="58"/>
        <v>0</v>
      </c>
      <c r="P112" s="305"/>
      <c r="Q112" s="305"/>
      <c r="R112" s="305"/>
      <c r="S112" s="305">
        <f>fsp!$D$203</f>
        <v>12</v>
      </c>
      <c r="T112" s="305"/>
      <c r="U112" s="305"/>
      <c r="V112" s="305"/>
      <c r="W112" s="305"/>
      <c r="X112" s="305"/>
      <c r="Y112" s="305"/>
      <c r="Z112" s="120">
        <f t="shared" si="59"/>
        <v>12</v>
      </c>
      <c r="AA112" s="305"/>
      <c r="AB112" s="305">
        <f>AA112*iét!$D$226</f>
        <v>0</v>
      </c>
      <c r="AC112" s="305">
        <f>AA112*iét!$D$227</f>
        <v>0</v>
      </c>
      <c r="AD112" s="305">
        <f>AA112*iét!$D$228</f>
        <v>0</v>
      </c>
      <c r="AE112" s="305">
        <f>AA112*iét!$D$229</f>
        <v>0</v>
      </c>
      <c r="AF112" s="120">
        <f t="shared" si="42"/>
        <v>0</v>
      </c>
      <c r="AG112" s="117"/>
      <c r="AH112" s="305"/>
      <c r="AI112" s="120">
        <f t="shared" si="60"/>
        <v>0</v>
      </c>
      <c r="AJ112" s="346">
        <f t="shared" si="61"/>
        <v>589</v>
      </c>
    </row>
    <row r="113" spans="1:36" ht="12">
      <c r="A113" s="115" t="s">
        <v>1560</v>
      </c>
      <c r="B113" s="117"/>
      <c r="C113" s="117"/>
      <c r="D113" s="305"/>
      <c r="E113" s="120">
        <f t="shared" si="56"/>
        <v>0</v>
      </c>
      <c r="F113" s="305"/>
      <c r="G113" s="305"/>
      <c r="H113" s="120">
        <f t="shared" si="57"/>
        <v>0</v>
      </c>
      <c r="I113" s="117"/>
      <c r="J113" s="305"/>
      <c r="K113" s="305"/>
      <c r="L113" s="305"/>
      <c r="M113" s="305"/>
      <c r="N113" s="305"/>
      <c r="O113" s="120">
        <f t="shared" si="58"/>
        <v>0</v>
      </c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120">
        <f t="shared" si="59"/>
        <v>0</v>
      </c>
      <c r="AA113" s="305"/>
      <c r="AB113" s="305">
        <f>AA113*iét!$D$226</f>
        <v>0</v>
      </c>
      <c r="AC113" s="305">
        <f>AA113*iét!$D$227</f>
        <v>0</v>
      </c>
      <c r="AD113" s="305">
        <f>AA113*iét!$D$228</f>
        <v>0</v>
      </c>
      <c r="AE113" s="305">
        <f>AA113*iét!$D$229</f>
        <v>0</v>
      </c>
      <c r="AF113" s="120">
        <f t="shared" si="42"/>
        <v>0</v>
      </c>
      <c r="AG113" s="117"/>
      <c r="AH113" s="305"/>
      <c r="AI113" s="120">
        <f t="shared" si="60"/>
        <v>0</v>
      </c>
      <c r="AJ113" s="131">
        <f t="shared" si="61"/>
        <v>0</v>
      </c>
    </row>
    <row r="114" spans="1:36" ht="12">
      <c r="A114" s="115" t="s">
        <v>1561</v>
      </c>
      <c r="B114" s="117"/>
      <c r="C114" s="117"/>
      <c r="D114" s="305"/>
      <c r="E114" s="120">
        <f t="shared" si="56"/>
        <v>0</v>
      </c>
      <c r="F114" s="305"/>
      <c r="G114" s="305"/>
      <c r="H114" s="120">
        <f t="shared" si="57"/>
        <v>0</v>
      </c>
      <c r="I114" s="117"/>
      <c r="J114" s="305"/>
      <c r="K114" s="305"/>
      <c r="L114" s="305"/>
      <c r="M114" s="305"/>
      <c r="N114" s="305"/>
      <c r="O114" s="120">
        <f t="shared" si="58"/>
        <v>0</v>
      </c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120">
        <f t="shared" si="59"/>
        <v>0</v>
      </c>
      <c r="AA114" s="305"/>
      <c r="AB114" s="305">
        <f>AA114*iét!$D$226</f>
        <v>0</v>
      </c>
      <c r="AC114" s="305">
        <f>AA114*iét!$D$227</f>
        <v>0</v>
      </c>
      <c r="AD114" s="305">
        <f>AA114*iét!$D$228</f>
        <v>0</v>
      </c>
      <c r="AE114" s="305">
        <f>AA114*iét!$D$229</f>
        <v>0</v>
      </c>
      <c r="AF114" s="120">
        <f t="shared" si="42"/>
        <v>0</v>
      </c>
      <c r="AG114" s="117"/>
      <c r="AH114" s="305"/>
      <c r="AI114" s="120">
        <f t="shared" si="60"/>
        <v>0</v>
      </c>
      <c r="AJ114" s="131">
        <f t="shared" si="61"/>
        <v>0</v>
      </c>
    </row>
    <row r="115" spans="1:36" ht="12">
      <c r="A115" s="115" t="s">
        <v>1562</v>
      </c>
      <c r="B115" s="117">
        <v>0</v>
      </c>
      <c r="C115" s="117"/>
      <c r="D115" s="305"/>
      <c r="E115" s="120">
        <f t="shared" si="56"/>
        <v>0</v>
      </c>
      <c r="F115" s="305"/>
      <c r="G115" s="305"/>
      <c r="H115" s="120">
        <f t="shared" si="57"/>
        <v>0</v>
      </c>
      <c r="I115" s="117"/>
      <c r="J115" s="305"/>
      <c r="K115" s="305"/>
      <c r="L115" s="305"/>
      <c r="M115" s="305"/>
      <c r="N115" s="305"/>
      <c r="O115" s="120">
        <f t="shared" si="58"/>
        <v>0</v>
      </c>
      <c r="P115" s="305"/>
      <c r="Q115" s="305"/>
      <c r="R115" s="305"/>
      <c r="S115" s="305"/>
      <c r="T115" s="305"/>
      <c r="U115" s="305"/>
      <c r="V115" s="305"/>
      <c r="W115" s="305">
        <v>660</v>
      </c>
      <c r="X115" s="305"/>
      <c r="Y115" s="305"/>
      <c r="Z115" s="120">
        <f t="shared" si="59"/>
        <v>660</v>
      </c>
      <c r="AA115" s="305"/>
      <c r="AB115" s="305">
        <f>AA115*iét!$D$226</f>
        <v>0</v>
      </c>
      <c r="AC115" s="305">
        <f>AA115*iét!$D$227</f>
        <v>0</v>
      </c>
      <c r="AD115" s="305">
        <f>AA115*iét!$D$228</f>
        <v>0</v>
      </c>
      <c r="AE115" s="305">
        <f>AA115*iét!$D$229</f>
        <v>0</v>
      </c>
      <c r="AF115" s="120">
        <f t="shared" si="42"/>
        <v>0</v>
      </c>
      <c r="AG115" s="117"/>
      <c r="AH115" s="305"/>
      <c r="AI115" s="120">
        <f t="shared" si="60"/>
        <v>0</v>
      </c>
      <c r="AJ115" s="346">
        <f t="shared" si="61"/>
        <v>660</v>
      </c>
    </row>
    <row r="116" spans="1:36" ht="12">
      <c r="A116" s="115" t="s">
        <v>1563</v>
      </c>
      <c r="B116" s="117"/>
      <c r="C116" s="117"/>
      <c r="D116" s="305"/>
      <c r="E116" s="120">
        <f t="shared" si="56"/>
        <v>0</v>
      </c>
      <c r="F116" s="305"/>
      <c r="G116" s="305"/>
      <c r="H116" s="120">
        <f t="shared" si="57"/>
        <v>0</v>
      </c>
      <c r="I116" s="117"/>
      <c r="J116" s="305"/>
      <c r="K116" s="305"/>
      <c r="L116" s="305"/>
      <c r="M116" s="305"/>
      <c r="N116" s="305"/>
      <c r="O116" s="120">
        <f t="shared" si="58"/>
        <v>0</v>
      </c>
      <c r="P116" s="305"/>
      <c r="Q116" s="305"/>
      <c r="R116" s="305"/>
      <c r="S116" s="305"/>
      <c r="T116" s="305"/>
      <c r="U116" s="305">
        <f>fsp!D305</f>
        <v>12593</v>
      </c>
      <c r="V116" s="305"/>
      <c r="W116" s="305"/>
      <c r="X116" s="305"/>
      <c r="Y116" s="305"/>
      <c r="Z116" s="120">
        <f t="shared" si="59"/>
        <v>12593</v>
      </c>
      <c r="AA116" s="305"/>
      <c r="AB116" s="305">
        <f>AA116*iét!$D$226</f>
        <v>0</v>
      </c>
      <c r="AC116" s="305">
        <f>AA116*iét!$D$227</f>
        <v>0</v>
      </c>
      <c r="AD116" s="305">
        <f>AA116*iét!$D$228</f>
        <v>0</v>
      </c>
      <c r="AE116" s="305">
        <f>AA116*iét!$D$229</f>
        <v>0</v>
      </c>
      <c r="AF116" s="120">
        <f t="shared" si="42"/>
        <v>0</v>
      </c>
      <c r="AG116" s="117"/>
      <c r="AH116" s="305"/>
      <c r="AI116" s="120">
        <f t="shared" si="60"/>
        <v>0</v>
      </c>
      <c r="AJ116" s="346">
        <f t="shared" si="61"/>
        <v>12593</v>
      </c>
    </row>
    <row r="117" spans="1:36" ht="12">
      <c r="A117" s="115" t="s">
        <v>1564</v>
      </c>
      <c r="B117" s="117"/>
      <c r="C117" s="117"/>
      <c r="D117" s="305"/>
      <c r="E117" s="120">
        <f t="shared" si="56"/>
        <v>0</v>
      </c>
      <c r="F117" s="305"/>
      <c r="G117" s="305"/>
      <c r="H117" s="120">
        <f t="shared" si="57"/>
        <v>0</v>
      </c>
      <c r="I117" s="117"/>
      <c r="J117" s="305"/>
      <c r="K117" s="305"/>
      <c r="L117" s="305"/>
      <c r="M117" s="305"/>
      <c r="N117" s="305"/>
      <c r="O117" s="120">
        <f t="shared" si="58"/>
        <v>0</v>
      </c>
      <c r="P117" s="305"/>
      <c r="Q117" s="305"/>
      <c r="R117" s="305"/>
      <c r="S117" s="305"/>
      <c r="T117" s="305">
        <f>fsp!$D$227</f>
        <v>0</v>
      </c>
      <c r="U117" s="305"/>
      <c r="V117" s="305"/>
      <c r="W117" s="305"/>
      <c r="X117" s="305"/>
      <c r="Y117" s="305"/>
      <c r="Z117" s="120">
        <f t="shared" si="59"/>
        <v>0</v>
      </c>
      <c r="AA117" s="305"/>
      <c r="AB117" s="305">
        <f>AA117*iét!$D$226</f>
        <v>0</v>
      </c>
      <c r="AC117" s="305">
        <f>AA117*iét!$D$227</f>
        <v>0</v>
      </c>
      <c r="AD117" s="305">
        <f>AA117*iét!$D$228</f>
        <v>0</v>
      </c>
      <c r="AE117" s="305">
        <f>AA117*iét!$D$229</f>
        <v>0</v>
      </c>
      <c r="AF117" s="120">
        <f t="shared" si="42"/>
        <v>0</v>
      </c>
      <c r="AG117" s="117"/>
      <c r="AH117" s="305"/>
      <c r="AI117" s="120">
        <f t="shared" si="60"/>
        <v>0</v>
      </c>
      <c r="AJ117" s="346">
        <f t="shared" si="61"/>
        <v>0</v>
      </c>
    </row>
    <row r="118" spans="1:36" ht="12">
      <c r="A118" s="115" t="s">
        <v>1565</v>
      </c>
      <c r="B118" s="117"/>
      <c r="C118" s="117"/>
      <c r="D118" s="305"/>
      <c r="E118" s="120">
        <f t="shared" si="56"/>
        <v>0</v>
      </c>
      <c r="F118" s="305"/>
      <c r="G118" s="305"/>
      <c r="H118" s="120">
        <f t="shared" si="57"/>
        <v>0</v>
      </c>
      <c r="I118" s="117"/>
      <c r="J118" s="305"/>
      <c r="K118" s="305"/>
      <c r="L118" s="305"/>
      <c r="M118" s="305"/>
      <c r="N118" s="305"/>
      <c r="O118" s="120">
        <f t="shared" si="58"/>
        <v>0</v>
      </c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120">
        <f t="shared" si="59"/>
        <v>0</v>
      </c>
      <c r="AA118" s="305"/>
      <c r="AB118" s="305">
        <f>AA118*iét!$D$226</f>
        <v>0</v>
      </c>
      <c r="AC118" s="305">
        <f>AA118*iét!$D$227</f>
        <v>0</v>
      </c>
      <c r="AD118" s="305">
        <f>AA118*iét!$D$228</f>
        <v>0</v>
      </c>
      <c r="AE118" s="305">
        <f>AA118*iét!$D$229</f>
        <v>0</v>
      </c>
      <c r="AF118" s="120">
        <f t="shared" si="42"/>
        <v>0</v>
      </c>
      <c r="AG118" s="117"/>
      <c r="AH118" s="305"/>
      <c r="AI118" s="120">
        <f t="shared" si="60"/>
        <v>0</v>
      </c>
      <c r="AJ118" s="346">
        <f t="shared" si="61"/>
        <v>0</v>
      </c>
    </row>
    <row r="119" spans="1:36" ht="12">
      <c r="A119" s="115" t="s">
        <v>1566</v>
      </c>
      <c r="B119" s="117"/>
      <c r="C119" s="117"/>
      <c r="D119" s="305"/>
      <c r="E119" s="120">
        <f t="shared" si="56"/>
        <v>0</v>
      </c>
      <c r="F119" s="305"/>
      <c r="G119" s="305"/>
      <c r="H119" s="120">
        <f t="shared" si="57"/>
        <v>0</v>
      </c>
      <c r="I119" s="117"/>
      <c r="J119" s="305"/>
      <c r="K119" s="305"/>
      <c r="L119" s="305"/>
      <c r="M119" s="305"/>
      <c r="N119" s="305"/>
      <c r="O119" s="120">
        <f t="shared" si="58"/>
        <v>0</v>
      </c>
      <c r="P119" s="305"/>
      <c r="Q119" s="305"/>
      <c r="R119" s="305"/>
      <c r="S119" s="305"/>
      <c r="T119" s="305">
        <f>fsp!$D$258</f>
        <v>2615</v>
      </c>
      <c r="U119" s="305"/>
      <c r="V119" s="305"/>
      <c r="W119" s="305"/>
      <c r="X119" s="305"/>
      <c r="Y119" s="305"/>
      <c r="Z119" s="120">
        <f t="shared" si="59"/>
        <v>2615</v>
      </c>
      <c r="AA119" s="305"/>
      <c r="AB119" s="305">
        <f>AA119*iét!$D$226</f>
        <v>0</v>
      </c>
      <c r="AC119" s="305">
        <f>AA119*iét!$D$227</f>
        <v>0</v>
      </c>
      <c r="AD119" s="305">
        <f>AA119*iét!$D$228</f>
        <v>0</v>
      </c>
      <c r="AE119" s="305">
        <f>AA119*iét!$D$229</f>
        <v>0</v>
      </c>
      <c r="AF119" s="120">
        <f t="shared" si="42"/>
        <v>0</v>
      </c>
      <c r="AG119" s="117"/>
      <c r="AH119" s="305"/>
      <c r="AI119" s="120">
        <f t="shared" si="60"/>
        <v>0</v>
      </c>
      <c r="AJ119" s="346">
        <f t="shared" si="61"/>
        <v>2615</v>
      </c>
    </row>
    <row r="120" spans="1:36" ht="12">
      <c r="A120" s="115" t="s">
        <v>1567</v>
      </c>
      <c r="B120" s="117"/>
      <c r="C120" s="117"/>
      <c r="D120" s="305"/>
      <c r="E120" s="120">
        <f t="shared" si="56"/>
        <v>0</v>
      </c>
      <c r="F120" s="305"/>
      <c r="G120" s="305"/>
      <c r="H120" s="120">
        <f t="shared" si="57"/>
        <v>0</v>
      </c>
      <c r="I120" s="117"/>
      <c r="J120" s="305"/>
      <c r="K120" s="305"/>
      <c r="L120" s="305"/>
      <c r="M120" s="305"/>
      <c r="N120" s="305"/>
      <c r="O120" s="120">
        <f t="shared" si="58"/>
        <v>0</v>
      </c>
      <c r="P120" s="305"/>
      <c r="Q120" s="305"/>
      <c r="R120" s="305"/>
      <c r="S120" s="305"/>
      <c r="T120" s="305">
        <f>fsp!$D$273</f>
        <v>1719</v>
      </c>
      <c r="U120" s="305"/>
      <c r="V120" s="305"/>
      <c r="W120" s="305"/>
      <c r="X120" s="305"/>
      <c r="Y120" s="305"/>
      <c r="Z120" s="120">
        <f t="shared" si="59"/>
        <v>1719</v>
      </c>
      <c r="AA120" s="305"/>
      <c r="AB120" s="305">
        <f>AA120*iét!$D$226</f>
        <v>0</v>
      </c>
      <c r="AC120" s="305">
        <f>AA120*iét!$D$227</f>
        <v>0</v>
      </c>
      <c r="AD120" s="305">
        <f>AA120*iét!$D$228</f>
        <v>0</v>
      </c>
      <c r="AE120" s="305">
        <f>AA120*iét!$D$229</f>
        <v>0</v>
      </c>
      <c r="AF120" s="120">
        <f t="shared" si="42"/>
        <v>0</v>
      </c>
      <c r="AG120" s="117"/>
      <c r="AH120" s="305"/>
      <c r="AI120" s="120">
        <f t="shared" si="60"/>
        <v>0</v>
      </c>
      <c r="AJ120" s="346">
        <f t="shared" si="61"/>
        <v>1719</v>
      </c>
    </row>
    <row r="121" spans="1:36" ht="12">
      <c r="A121" s="115" t="s">
        <v>1568</v>
      </c>
      <c r="B121" s="117"/>
      <c r="C121" s="117"/>
      <c r="D121" s="305"/>
      <c r="E121" s="120">
        <f t="shared" si="56"/>
        <v>0</v>
      </c>
      <c r="F121" s="305"/>
      <c r="G121" s="305"/>
      <c r="H121" s="120">
        <f t="shared" si="57"/>
        <v>0</v>
      </c>
      <c r="I121" s="117"/>
      <c r="J121" s="305"/>
      <c r="K121" s="305"/>
      <c r="L121" s="305"/>
      <c r="M121" s="305"/>
      <c r="N121" s="305"/>
      <c r="O121" s="120">
        <f t="shared" si="58"/>
        <v>0</v>
      </c>
      <c r="P121" s="305"/>
      <c r="Q121" s="305"/>
      <c r="R121" s="305"/>
      <c r="S121" s="305"/>
      <c r="T121" s="305">
        <f>fsp!$D$284</f>
        <v>2202</v>
      </c>
      <c r="U121" s="305"/>
      <c r="V121" s="305"/>
      <c r="W121" s="305"/>
      <c r="X121" s="305"/>
      <c r="Y121" s="305"/>
      <c r="Z121" s="120">
        <f t="shared" si="59"/>
        <v>2202</v>
      </c>
      <c r="AA121" s="305"/>
      <c r="AB121" s="305">
        <f>AA121*iét!$D$226</f>
        <v>0</v>
      </c>
      <c r="AC121" s="305">
        <f>AA121*iét!$D$227</f>
        <v>0</v>
      </c>
      <c r="AD121" s="305">
        <f>AA121*iét!$D$228</f>
        <v>0</v>
      </c>
      <c r="AE121" s="305">
        <f>AA121*iét!$D$229</f>
        <v>0</v>
      </c>
      <c r="AF121" s="120">
        <f t="shared" si="42"/>
        <v>0</v>
      </c>
      <c r="AG121" s="117"/>
      <c r="AH121" s="305"/>
      <c r="AI121" s="120">
        <f t="shared" si="60"/>
        <v>0</v>
      </c>
      <c r="AJ121" s="346">
        <f t="shared" si="61"/>
        <v>2202</v>
      </c>
    </row>
    <row r="122" spans="1:36" ht="12">
      <c r="A122" s="115" t="s">
        <v>1569</v>
      </c>
      <c r="B122" s="117"/>
      <c r="C122" s="117"/>
      <c r="D122" s="305"/>
      <c r="E122" s="120">
        <f t="shared" si="56"/>
        <v>0</v>
      </c>
      <c r="F122" s="305"/>
      <c r="G122" s="305"/>
      <c r="H122" s="120">
        <f t="shared" si="57"/>
        <v>0</v>
      </c>
      <c r="I122" s="117"/>
      <c r="J122" s="305"/>
      <c r="K122" s="305"/>
      <c r="L122" s="305"/>
      <c r="M122" s="305"/>
      <c r="N122" s="305"/>
      <c r="O122" s="120">
        <f t="shared" si="58"/>
        <v>0</v>
      </c>
      <c r="P122" s="305"/>
      <c r="Q122" s="305"/>
      <c r="R122" s="305"/>
      <c r="S122" s="305"/>
      <c r="T122" s="305"/>
      <c r="U122" s="305"/>
      <c r="V122" s="305">
        <f>fsp!D327</f>
        <v>263</v>
      </c>
      <c r="W122" s="305"/>
      <c r="X122" s="305"/>
      <c r="Y122" s="305"/>
      <c r="Z122" s="120">
        <f t="shared" si="59"/>
        <v>263</v>
      </c>
      <c r="AA122" s="305"/>
      <c r="AB122" s="305">
        <f>AA122*iét!$D$226</f>
        <v>0</v>
      </c>
      <c r="AC122" s="305">
        <f>AA122*iét!$D$227</f>
        <v>0</v>
      </c>
      <c r="AD122" s="305">
        <f>AA122*iét!$D$228</f>
        <v>0</v>
      </c>
      <c r="AE122" s="305">
        <f>AA122*iét!$D$229</f>
        <v>0</v>
      </c>
      <c r="AF122" s="120">
        <f t="shared" si="42"/>
        <v>0</v>
      </c>
      <c r="AG122" s="117"/>
      <c r="AH122" s="305"/>
      <c r="AI122" s="120">
        <f t="shared" si="60"/>
        <v>0</v>
      </c>
      <c r="AJ122" s="346">
        <f t="shared" si="61"/>
        <v>263</v>
      </c>
    </row>
    <row r="123" spans="1:36" ht="12">
      <c r="A123" s="115" t="s">
        <v>1570</v>
      </c>
      <c r="B123" s="117"/>
      <c r="C123" s="117"/>
      <c r="D123" s="305"/>
      <c r="E123" s="120">
        <f t="shared" si="56"/>
        <v>0</v>
      </c>
      <c r="F123" s="305"/>
      <c r="G123" s="305"/>
      <c r="H123" s="120">
        <f t="shared" si="57"/>
        <v>0</v>
      </c>
      <c r="I123" s="117"/>
      <c r="J123" s="305"/>
      <c r="K123" s="305"/>
      <c r="L123" s="305"/>
      <c r="M123" s="305"/>
      <c r="N123" s="305"/>
      <c r="O123" s="120">
        <f t="shared" si="58"/>
        <v>0</v>
      </c>
      <c r="P123" s="305"/>
      <c r="Q123" s="305"/>
      <c r="R123" s="305"/>
      <c r="S123" s="305"/>
      <c r="T123" s="305"/>
      <c r="U123" s="305"/>
      <c r="V123" s="305">
        <f>fsp!D330</f>
        <v>0</v>
      </c>
      <c r="W123" s="305"/>
      <c r="X123" s="305"/>
      <c r="Y123" s="305"/>
      <c r="Z123" s="120">
        <f t="shared" si="59"/>
        <v>0</v>
      </c>
      <c r="AA123" s="305"/>
      <c r="AB123" s="305">
        <f>AA123*iét!$D$226</f>
        <v>0</v>
      </c>
      <c r="AC123" s="305">
        <f>AA123*iét!$D$227</f>
        <v>0</v>
      </c>
      <c r="AD123" s="305">
        <f>AA123*iét!$D$228</f>
        <v>0</v>
      </c>
      <c r="AE123" s="305">
        <f>AA123*iét!$D$229</f>
        <v>0</v>
      </c>
      <c r="AF123" s="120">
        <f t="shared" si="42"/>
        <v>0</v>
      </c>
      <c r="AG123" s="117"/>
      <c r="AH123" s="305"/>
      <c r="AI123" s="120">
        <f t="shared" si="60"/>
        <v>0</v>
      </c>
      <c r="AJ123" s="346">
        <f t="shared" si="61"/>
        <v>0</v>
      </c>
    </row>
    <row r="124" spans="1:36" ht="12">
      <c r="A124" s="115" t="s">
        <v>1571</v>
      </c>
      <c r="B124" s="117"/>
      <c r="C124" s="117"/>
      <c r="D124" s="305"/>
      <c r="E124" s="120">
        <f t="shared" si="56"/>
        <v>0</v>
      </c>
      <c r="F124" s="305"/>
      <c r="G124" s="305"/>
      <c r="H124" s="120">
        <f t="shared" si="57"/>
        <v>0</v>
      </c>
      <c r="I124" s="117"/>
      <c r="J124" s="305"/>
      <c r="K124" s="305"/>
      <c r="L124" s="305"/>
      <c r="M124" s="305"/>
      <c r="N124" s="305"/>
      <c r="O124" s="120">
        <f t="shared" si="58"/>
        <v>0</v>
      </c>
      <c r="P124" s="305"/>
      <c r="Q124" s="305"/>
      <c r="R124" s="305"/>
      <c r="S124" s="305"/>
      <c r="T124" s="305"/>
      <c r="U124" s="305"/>
      <c r="V124" s="305">
        <f>fsp!D331</f>
        <v>30</v>
      </c>
      <c r="W124" s="305"/>
      <c r="X124" s="305"/>
      <c r="Y124" s="305"/>
      <c r="Z124" s="120">
        <f t="shared" si="59"/>
        <v>30</v>
      </c>
      <c r="AA124" s="305"/>
      <c r="AB124" s="305">
        <f>AA124*iét!$D$226</f>
        <v>0</v>
      </c>
      <c r="AC124" s="305">
        <f>AA124*iét!$D$227</f>
        <v>0</v>
      </c>
      <c r="AD124" s="305">
        <f>AA124*iét!$D$228</f>
        <v>0</v>
      </c>
      <c r="AE124" s="305">
        <f>AA124*iét!$D$229</f>
        <v>0</v>
      </c>
      <c r="AF124" s="120">
        <f t="shared" si="42"/>
        <v>0</v>
      </c>
      <c r="AG124" s="117"/>
      <c r="AH124" s="305"/>
      <c r="AI124" s="120">
        <f t="shared" si="60"/>
        <v>0</v>
      </c>
      <c r="AJ124" s="346">
        <f t="shared" si="61"/>
        <v>30</v>
      </c>
    </row>
    <row r="125" spans="1:36" ht="12">
      <c r="A125" s="115" t="s">
        <v>1572</v>
      </c>
      <c r="B125" s="117"/>
      <c r="C125" s="117"/>
      <c r="D125" s="305"/>
      <c r="E125" s="120">
        <f t="shared" si="56"/>
        <v>0</v>
      </c>
      <c r="F125" s="305"/>
      <c r="G125" s="305"/>
      <c r="H125" s="120">
        <f t="shared" si="57"/>
        <v>0</v>
      </c>
      <c r="I125" s="117"/>
      <c r="J125" s="305"/>
      <c r="K125" s="305"/>
      <c r="L125" s="305"/>
      <c r="M125" s="305"/>
      <c r="N125" s="305"/>
      <c r="O125" s="120">
        <f t="shared" si="58"/>
        <v>0</v>
      </c>
      <c r="P125" s="305"/>
      <c r="Q125" s="305"/>
      <c r="R125" s="305"/>
      <c r="S125" s="305"/>
      <c r="T125" s="305"/>
      <c r="U125" s="305"/>
      <c r="V125" s="305">
        <f>fsp!D355</f>
        <v>0</v>
      </c>
      <c r="W125" s="305"/>
      <c r="X125" s="305">
        <v>1345</v>
      </c>
      <c r="Y125" s="305"/>
      <c r="Z125" s="120">
        <f t="shared" si="59"/>
        <v>1345</v>
      </c>
      <c r="AA125" s="305"/>
      <c r="AB125" s="305">
        <f>AA125*iét!$D$226</f>
        <v>0</v>
      </c>
      <c r="AC125" s="305">
        <f>AA125*iét!$D$227</f>
        <v>0</v>
      </c>
      <c r="AD125" s="305">
        <f>AA125*iét!$D$228</f>
        <v>0</v>
      </c>
      <c r="AE125" s="305">
        <f>AA125*iét!$D$229</f>
        <v>0</v>
      </c>
      <c r="AF125" s="120">
        <f t="shared" si="42"/>
        <v>0</v>
      </c>
      <c r="AG125" s="117"/>
      <c r="AH125" s="305"/>
      <c r="AI125" s="120">
        <f t="shared" si="60"/>
        <v>0</v>
      </c>
      <c r="AJ125" s="346">
        <f t="shared" si="61"/>
        <v>1345</v>
      </c>
    </row>
    <row r="126" spans="1:36" ht="12">
      <c r="A126" s="115"/>
      <c r="B126" s="117"/>
      <c r="C126" s="117"/>
      <c r="D126" s="305"/>
      <c r="E126" s="120">
        <f t="shared" si="56"/>
        <v>0</v>
      </c>
      <c r="F126" s="305"/>
      <c r="G126" s="305"/>
      <c r="H126" s="120">
        <f t="shared" si="57"/>
        <v>0</v>
      </c>
      <c r="I126" s="117"/>
      <c r="J126" s="305"/>
      <c r="K126" s="305"/>
      <c r="L126" s="305"/>
      <c r="M126" s="305"/>
      <c r="N126" s="305"/>
      <c r="O126" s="120">
        <f t="shared" si="58"/>
        <v>0</v>
      </c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120">
        <f t="shared" si="59"/>
        <v>0</v>
      </c>
      <c r="AA126" s="305"/>
      <c r="AB126" s="305">
        <f>AA126*iét!$D$226</f>
        <v>0</v>
      </c>
      <c r="AC126" s="305">
        <f>AA126*iét!$D$227</f>
        <v>0</v>
      </c>
      <c r="AD126" s="305">
        <f>AA126*iét!$D$228</f>
        <v>0</v>
      </c>
      <c r="AE126" s="305">
        <f>AA126*iét!$D$229</f>
        <v>0</v>
      </c>
      <c r="AF126" s="120">
        <f t="shared" si="42"/>
        <v>0</v>
      </c>
      <c r="AG126" s="117"/>
      <c r="AH126" s="305"/>
      <c r="AI126" s="120">
        <f t="shared" si="60"/>
        <v>0</v>
      </c>
      <c r="AJ126" s="131">
        <f t="shared" si="61"/>
        <v>0</v>
      </c>
    </row>
    <row r="127" spans="1:36" ht="12">
      <c r="A127" s="121" t="s">
        <v>1573</v>
      </c>
      <c r="B127" s="122">
        <f aca="true" t="shared" si="62" ref="B127:AI127">SUM(B115:B126)</f>
        <v>0</v>
      </c>
      <c r="C127" s="122"/>
      <c r="D127" s="307">
        <f t="shared" si="62"/>
        <v>0</v>
      </c>
      <c r="E127" s="122">
        <f t="shared" si="62"/>
        <v>0</v>
      </c>
      <c r="F127" s="307">
        <f>SUM(F115:F126)</f>
        <v>0</v>
      </c>
      <c r="G127" s="307">
        <f t="shared" si="62"/>
        <v>0</v>
      </c>
      <c r="H127" s="122">
        <f t="shared" si="62"/>
        <v>0</v>
      </c>
      <c r="I127" s="122">
        <f t="shared" si="62"/>
        <v>0</v>
      </c>
      <c r="J127" s="307">
        <f t="shared" si="62"/>
        <v>0</v>
      </c>
      <c r="K127" s="307">
        <f t="shared" si="62"/>
        <v>0</v>
      </c>
      <c r="L127" s="307">
        <f t="shared" si="62"/>
        <v>0</v>
      </c>
      <c r="M127" s="307">
        <f t="shared" si="62"/>
        <v>0</v>
      </c>
      <c r="N127" s="307">
        <f t="shared" si="62"/>
        <v>0</v>
      </c>
      <c r="O127" s="122">
        <f t="shared" si="62"/>
        <v>0</v>
      </c>
      <c r="P127" s="307">
        <f t="shared" si="62"/>
        <v>0</v>
      </c>
      <c r="Q127" s="307">
        <f t="shared" si="62"/>
        <v>0</v>
      </c>
      <c r="R127" s="307">
        <f t="shared" si="62"/>
        <v>0</v>
      </c>
      <c r="S127" s="307">
        <f t="shared" si="62"/>
        <v>0</v>
      </c>
      <c r="T127" s="307">
        <f aca="true" t="shared" si="63" ref="T127:Y127">SUM(T115:T126)</f>
        <v>6536</v>
      </c>
      <c r="U127" s="307">
        <f t="shared" si="63"/>
        <v>12593</v>
      </c>
      <c r="V127" s="307">
        <f t="shared" si="63"/>
        <v>293</v>
      </c>
      <c r="W127" s="307">
        <f t="shared" si="63"/>
        <v>660</v>
      </c>
      <c r="X127" s="307">
        <f t="shared" si="63"/>
        <v>1345</v>
      </c>
      <c r="Y127" s="307">
        <f t="shared" si="63"/>
        <v>0</v>
      </c>
      <c r="Z127" s="122">
        <f t="shared" si="62"/>
        <v>21427</v>
      </c>
      <c r="AA127" s="307">
        <f t="shared" si="62"/>
        <v>0</v>
      </c>
      <c r="AB127" s="307">
        <f t="shared" si="62"/>
        <v>0</v>
      </c>
      <c r="AC127" s="307">
        <f t="shared" si="62"/>
        <v>0</v>
      </c>
      <c r="AD127" s="307">
        <f t="shared" si="62"/>
        <v>0</v>
      </c>
      <c r="AE127" s="307">
        <f>SUM(AE115:AE126)</f>
        <v>0</v>
      </c>
      <c r="AF127" s="122">
        <f>SUM(AF115:AF126)</f>
        <v>0</v>
      </c>
      <c r="AG127" s="122">
        <f t="shared" si="62"/>
        <v>0</v>
      </c>
      <c r="AH127" s="307">
        <f t="shared" si="62"/>
        <v>0</v>
      </c>
      <c r="AI127" s="122">
        <f t="shared" si="62"/>
        <v>0</v>
      </c>
      <c r="AJ127" s="307">
        <f>SUM(AJ115:AJ126)</f>
        <v>21427</v>
      </c>
    </row>
    <row r="128" spans="1:36" ht="12">
      <c r="A128" s="115" t="s">
        <v>1574</v>
      </c>
      <c r="B128" s="117"/>
      <c r="C128" s="117"/>
      <c r="D128" s="305"/>
      <c r="E128" s="120">
        <f>SUM(B128:D128)</f>
        <v>0</v>
      </c>
      <c r="F128" s="305"/>
      <c r="G128" s="305"/>
      <c r="H128" s="120">
        <f>SUM(F128:G128)</f>
        <v>0</v>
      </c>
      <c r="I128" s="117"/>
      <c r="J128" s="305"/>
      <c r="K128" s="305"/>
      <c r="L128" s="305"/>
      <c r="M128" s="305"/>
      <c r="N128" s="305"/>
      <c r="O128" s="120">
        <f>SUM(I128:N128)</f>
        <v>0</v>
      </c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120">
        <f>SUM(P128:Y128)</f>
        <v>0</v>
      </c>
      <c r="AA128" s="305"/>
      <c r="AB128" s="305">
        <f>AA128*iét!$D$226</f>
        <v>0</v>
      </c>
      <c r="AC128" s="305">
        <f>AA128*iét!$D$227</f>
        <v>0</v>
      </c>
      <c r="AD128" s="305">
        <f>AA128*iét!$D$228</f>
        <v>0</v>
      </c>
      <c r="AE128" s="305">
        <f>AA128*iét!$D$229</f>
        <v>0</v>
      </c>
      <c r="AF128" s="120">
        <f t="shared" si="42"/>
        <v>0</v>
      </c>
      <c r="AG128" s="117"/>
      <c r="AH128" s="305"/>
      <c r="AI128" s="120">
        <f>SUM(AG128:AH128)</f>
        <v>0</v>
      </c>
      <c r="AJ128" s="131">
        <f t="shared" si="61"/>
        <v>0</v>
      </c>
    </row>
    <row r="129" spans="1:36" ht="12">
      <c r="A129" s="116" t="s">
        <v>1575</v>
      </c>
      <c r="B129" s="118">
        <f aca="true" t="shared" si="64" ref="B129:AJ129">B113+B114+B127+B128</f>
        <v>0</v>
      </c>
      <c r="C129" s="118"/>
      <c r="D129" s="308">
        <f t="shared" si="64"/>
        <v>0</v>
      </c>
      <c r="E129" s="118">
        <f t="shared" si="64"/>
        <v>0</v>
      </c>
      <c r="F129" s="308">
        <f t="shared" si="64"/>
        <v>0</v>
      </c>
      <c r="G129" s="308">
        <f t="shared" si="64"/>
        <v>0</v>
      </c>
      <c r="H129" s="118">
        <f t="shared" si="64"/>
        <v>0</v>
      </c>
      <c r="I129" s="118">
        <f t="shared" si="64"/>
        <v>0</v>
      </c>
      <c r="J129" s="308">
        <f t="shared" si="64"/>
        <v>0</v>
      </c>
      <c r="K129" s="308">
        <f t="shared" si="64"/>
        <v>0</v>
      </c>
      <c r="L129" s="308">
        <f t="shared" si="64"/>
        <v>0</v>
      </c>
      <c r="M129" s="308">
        <f t="shared" si="64"/>
        <v>0</v>
      </c>
      <c r="N129" s="308">
        <f t="shared" si="64"/>
        <v>0</v>
      </c>
      <c r="O129" s="118">
        <f t="shared" si="64"/>
        <v>0</v>
      </c>
      <c r="P129" s="308">
        <f t="shared" si="64"/>
        <v>0</v>
      </c>
      <c r="Q129" s="308">
        <f t="shared" si="64"/>
        <v>0</v>
      </c>
      <c r="R129" s="308">
        <f t="shared" si="64"/>
        <v>0</v>
      </c>
      <c r="S129" s="308">
        <f t="shared" si="64"/>
        <v>0</v>
      </c>
      <c r="T129" s="308">
        <f t="shared" si="64"/>
        <v>6536</v>
      </c>
      <c r="U129" s="308">
        <f>U113+U114+U127+U128</f>
        <v>12593</v>
      </c>
      <c r="V129" s="308">
        <f>V113+V114+V127+V128</f>
        <v>293</v>
      </c>
      <c r="W129" s="308">
        <f>W113+W114+W127+W128</f>
        <v>660</v>
      </c>
      <c r="X129" s="308">
        <f>X113+X114+X127+X128</f>
        <v>1345</v>
      </c>
      <c r="Y129" s="308">
        <f>Y113+Y114+Y127+Y128</f>
        <v>0</v>
      </c>
      <c r="Z129" s="118">
        <f t="shared" si="64"/>
        <v>21427</v>
      </c>
      <c r="AA129" s="308">
        <f t="shared" si="64"/>
        <v>0</v>
      </c>
      <c r="AB129" s="308">
        <f t="shared" si="64"/>
        <v>0</v>
      </c>
      <c r="AC129" s="308">
        <f t="shared" si="64"/>
        <v>0</v>
      </c>
      <c r="AD129" s="308">
        <f t="shared" si="64"/>
        <v>0</v>
      </c>
      <c r="AE129" s="308">
        <f>AE113+AE114+AE127+AE128</f>
        <v>0</v>
      </c>
      <c r="AF129" s="118">
        <f>AF113+AF114+AF127+AF128</f>
        <v>0</v>
      </c>
      <c r="AG129" s="118">
        <f t="shared" si="64"/>
        <v>0</v>
      </c>
      <c r="AH129" s="308">
        <f t="shared" si="64"/>
        <v>0</v>
      </c>
      <c r="AI129" s="118">
        <f t="shared" si="64"/>
        <v>0</v>
      </c>
      <c r="AJ129" s="308">
        <f t="shared" si="64"/>
        <v>21427</v>
      </c>
    </row>
    <row r="130" spans="1:36" ht="12">
      <c r="A130" s="136" t="s">
        <v>1576</v>
      </c>
      <c r="B130" s="309">
        <f>B109+B110+B111+B112+B129</f>
        <v>24940</v>
      </c>
      <c r="C130" s="137"/>
      <c r="D130" s="309">
        <f aca="true" t="shared" si="65" ref="D130:AJ130">D109+D110+D111+D112+D129</f>
        <v>0</v>
      </c>
      <c r="E130" s="137">
        <f t="shared" si="65"/>
        <v>24940</v>
      </c>
      <c r="F130" s="309">
        <f t="shared" si="65"/>
        <v>0</v>
      </c>
      <c r="G130" s="309">
        <f t="shared" si="65"/>
        <v>0</v>
      </c>
      <c r="H130" s="137">
        <f t="shared" si="65"/>
        <v>0</v>
      </c>
      <c r="I130" s="137">
        <f t="shared" si="65"/>
        <v>0</v>
      </c>
      <c r="J130" s="309">
        <f t="shared" si="65"/>
        <v>0</v>
      </c>
      <c r="K130" s="309">
        <f t="shared" si="65"/>
        <v>0</v>
      </c>
      <c r="L130" s="309">
        <f t="shared" si="65"/>
        <v>0</v>
      </c>
      <c r="M130" s="309">
        <f t="shared" si="65"/>
        <v>0</v>
      </c>
      <c r="N130" s="309">
        <f t="shared" si="65"/>
        <v>0</v>
      </c>
      <c r="O130" s="137">
        <f t="shared" si="65"/>
        <v>0</v>
      </c>
      <c r="P130" s="309">
        <f t="shared" si="65"/>
        <v>0</v>
      </c>
      <c r="Q130" s="309">
        <f t="shared" si="65"/>
        <v>2577</v>
      </c>
      <c r="R130" s="309">
        <f t="shared" si="65"/>
        <v>0</v>
      </c>
      <c r="S130" s="309">
        <f t="shared" si="65"/>
        <v>1543</v>
      </c>
      <c r="T130" s="309">
        <f t="shared" si="65"/>
        <v>6536</v>
      </c>
      <c r="U130" s="309">
        <f>U109+U110+U111+U112+U129</f>
        <v>12593</v>
      </c>
      <c r="V130" s="309">
        <f>V109+V110+V111+V112+V129</f>
        <v>293</v>
      </c>
      <c r="W130" s="309">
        <f>W109+W110+W111+W112+W129</f>
        <v>660</v>
      </c>
      <c r="X130" s="309">
        <f>X109+X110+X111+X112+X129</f>
        <v>1345</v>
      </c>
      <c r="Y130" s="309">
        <f>Y109+Y110+Y111+Y112+Y129</f>
        <v>25</v>
      </c>
      <c r="Z130" s="137">
        <f t="shared" si="65"/>
        <v>25572</v>
      </c>
      <c r="AA130" s="309">
        <f t="shared" si="65"/>
        <v>0</v>
      </c>
      <c r="AB130" s="309">
        <f t="shared" si="65"/>
        <v>0</v>
      </c>
      <c r="AC130" s="309">
        <f t="shared" si="65"/>
        <v>0</v>
      </c>
      <c r="AD130" s="309">
        <f t="shared" si="65"/>
        <v>0</v>
      </c>
      <c r="AE130" s="309">
        <f>AE109+AE110+AE111+AE112+AE129</f>
        <v>0</v>
      </c>
      <c r="AF130" s="137">
        <f>AF109+AF110+AF111+AF112+AF129</f>
        <v>0</v>
      </c>
      <c r="AG130" s="137">
        <f t="shared" si="65"/>
        <v>0</v>
      </c>
      <c r="AH130" s="309">
        <f t="shared" si="65"/>
        <v>45</v>
      </c>
      <c r="AI130" s="137">
        <f t="shared" si="65"/>
        <v>45</v>
      </c>
      <c r="AJ130" s="309">
        <f t="shared" si="65"/>
        <v>50557</v>
      </c>
    </row>
    <row r="131" spans="1:36" ht="12">
      <c r="A131" s="115"/>
      <c r="B131" s="117">
        <v>0</v>
      </c>
      <c r="C131" s="117"/>
      <c r="D131" s="305"/>
      <c r="E131" s="120">
        <f>SUM(B131:D131)</f>
        <v>0</v>
      </c>
      <c r="F131" s="305">
        <f>isk!D97</f>
        <v>0</v>
      </c>
      <c r="G131" s="305"/>
      <c r="H131" s="120">
        <f>SUM(F131:G131)</f>
        <v>0</v>
      </c>
      <c r="I131" s="117"/>
      <c r="J131" s="305"/>
      <c r="K131" s="305"/>
      <c r="L131" s="305"/>
      <c r="M131" s="305"/>
      <c r="N131" s="305"/>
      <c r="O131" s="120">
        <f>SUM(I131:N131)</f>
        <v>0</v>
      </c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120">
        <f>SUM(P131:Y131)</f>
        <v>0</v>
      </c>
      <c r="AA131" s="305"/>
      <c r="AB131" s="305">
        <f>AA131*iét!$D$226</f>
        <v>0</v>
      </c>
      <c r="AC131" s="305">
        <f>AA131*iét!$D$227</f>
        <v>0</v>
      </c>
      <c r="AD131" s="305">
        <f>AA131*iét!$D$228</f>
        <v>0</v>
      </c>
      <c r="AE131" s="305">
        <f>AA131*iét!$D$229</f>
        <v>0</v>
      </c>
      <c r="AF131" s="120">
        <f aca="true" t="shared" si="66" ref="AF131:AF158">SUM(AB131:AE131)</f>
        <v>0</v>
      </c>
      <c r="AG131" s="117"/>
      <c r="AH131" s="305">
        <f>elsz!D114</f>
        <v>0</v>
      </c>
      <c r="AI131" s="120">
        <f>SUM(AG131:AH131)</f>
        <v>0</v>
      </c>
      <c r="AJ131" s="131">
        <f>E131+H131+O131+Z131+AF131+AI131</f>
        <v>0</v>
      </c>
    </row>
    <row r="132" spans="1:36" ht="12">
      <c r="A132" s="115">
        <f>elsz!A114</f>
        <v>0</v>
      </c>
      <c r="B132" s="117"/>
      <c r="C132" s="117"/>
      <c r="D132" s="305"/>
      <c r="E132" s="120">
        <f>SUM(B132:D132)</f>
        <v>0</v>
      </c>
      <c r="F132" s="305"/>
      <c r="G132" s="305"/>
      <c r="H132" s="120">
        <f>SUM(F132:G132)</f>
        <v>0</v>
      </c>
      <c r="I132" s="117"/>
      <c r="J132" s="305"/>
      <c r="K132" s="305"/>
      <c r="L132" s="305"/>
      <c r="M132" s="305"/>
      <c r="N132" s="305"/>
      <c r="O132" s="120">
        <f>SUM(I132:N132)</f>
        <v>0</v>
      </c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120">
        <f>SUM(P132:Y132)</f>
        <v>0</v>
      </c>
      <c r="AA132" s="305"/>
      <c r="AB132" s="305">
        <f>AA132*iét!$D$226</f>
        <v>0</v>
      </c>
      <c r="AC132" s="305">
        <f>AA132*iét!$D$227</f>
        <v>0</v>
      </c>
      <c r="AD132" s="305">
        <f>AA132*iét!$D$228</f>
        <v>0</v>
      </c>
      <c r="AE132" s="305">
        <f>AA132*iét!$D$229</f>
        <v>0</v>
      </c>
      <c r="AF132" s="120">
        <f t="shared" si="66"/>
        <v>0</v>
      </c>
      <c r="AG132" s="117"/>
      <c r="AH132" s="305"/>
      <c r="AI132" s="120">
        <f>SUM(AG132:AH132)</f>
        <v>0</v>
      </c>
      <c r="AJ132" s="131">
        <f aca="true" t="shared" si="67" ref="AJ132:AJ151">E132+H132+O132+Z132+AF132+AI132</f>
        <v>0</v>
      </c>
    </row>
    <row r="133" spans="1:36" ht="12">
      <c r="A133" s="115"/>
      <c r="B133" s="117"/>
      <c r="C133" s="117"/>
      <c r="D133" s="305"/>
      <c r="E133" s="120">
        <f>SUM(B133:D133)</f>
        <v>0</v>
      </c>
      <c r="F133" s="305"/>
      <c r="G133" s="305"/>
      <c r="H133" s="120">
        <f>SUM(F133:G133)</f>
        <v>0</v>
      </c>
      <c r="I133" s="117"/>
      <c r="J133" s="305"/>
      <c r="K133" s="305"/>
      <c r="L133" s="305"/>
      <c r="M133" s="305"/>
      <c r="N133" s="305"/>
      <c r="O133" s="120">
        <f>SUM(I133:N133)</f>
        <v>0</v>
      </c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120">
        <f>SUM(P133:Y133)</f>
        <v>0</v>
      </c>
      <c r="AA133" s="305"/>
      <c r="AB133" s="305"/>
      <c r="AC133" s="305"/>
      <c r="AD133" s="305"/>
      <c r="AE133" s="305">
        <f>AA133*iét!$D$229</f>
        <v>0</v>
      </c>
      <c r="AF133" s="120">
        <f t="shared" si="66"/>
        <v>0</v>
      </c>
      <c r="AG133" s="117"/>
      <c r="AH133" s="305"/>
      <c r="AI133" s="120">
        <f>SUM(AG133:AH133)</f>
        <v>0</v>
      </c>
      <c r="AJ133" s="131">
        <f t="shared" si="67"/>
        <v>0</v>
      </c>
    </row>
    <row r="134" spans="1:36" ht="12">
      <c r="A134" s="121" t="s">
        <v>1577</v>
      </c>
      <c r="B134" s="122">
        <f aca="true" t="shared" si="68" ref="B134:AJ134">SUM(B131:B133)</f>
        <v>0</v>
      </c>
      <c r="C134" s="122"/>
      <c r="D134" s="307">
        <f t="shared" si="68"/>
        <v>0</v>
      </c>
      <c r="E134" s="122">
        <f t="shared" si="68"/>
        <v>0</v>
      </c>
      <c r="F134" s="307">
        <f t="shared" si="68"/>
        <v>0</v>
      </c>
      <c r="G134" s="307">
        <f t="shared" si="68"/>
        <v>0</v>
      </c>
      <c r="H134" s="122">
        <f t="shared" si="68"/>
        <v>0</v>
      </c>
      <c r="I134" s="122">
        <f t="shared" si="68"/>
        <v>0</v>
      </c>
      <c r="J134" s="307">
        <f t="shared" si="68"/>
        <v>0</v>
      </c>
      <c r="K134" s="307">
        <f t="shared" si="68"/>
        <v>0</v>
      </c>
      <c r="L134" s="307">
        <f t="shared" si="68"/>
        <v>0</v>
      </c>
      <c r="M134" s="307">
        <f t="shared" si="68"/>
        <v>0</v>
      </c>
      <c r="N134" s="307">
        <f t="shared" si="68"/>
        <v>0</v>
      </c>
      <c r="O134" s="122">
        <f t="shared" si="68"/>
        <v>0</v>
      </c>
      <c r="P134" s="307">
        <f t="shared" si="68"/>
        <v>0</v>
      </c>
      <c r="Q134" s="307">
        <f t="shared" si="68"/>
        <v>0</v>
      </c>
      <c r="R134" s="307">
        <f t="shared" si="68"/>
        <v>0</v>
      </c>
      <c r="S134" s="307">
        <f t="shared" si="68"/>
        <v>0</v>
      </c>
      <c r="T134" s="307">
        <f t="shared" si="68"/>
        <v>0</v>
      </c>
      <c r="U134" s="307">
        <f>SUM(U131:U133)</f>
        <v>0</v>
      </c>
      <c r="V134" s="307">
        <f>SUM(V131:V133)</f>
        <v>0</v>
      </c>
      <c r="W134" s="307"/>
      <c r="X134" s="307"/>
      <c r="Y134" s="307">
        <f>SUM(Y131:Y133)</f>
        <v>0</v>
      </c>
      <c r="Z134" s="122">
        <f t="shared" si="68"/>
        <v>0</v>
      </c>
      <c r="AA134" s="307">
        <f t="shared" si="68"/>
        <v>0</v>
      </c>
      <c r="AB134" s="307">
        <f t="shared" si="68"/>
        <v>0</v>
      </c>
      <c r="AC134" s="307">
        <f t="shared" si="68"/>
        <v>0</v>
      </c>
      <c r="AD134" s="307">
        <f t="shared" si="68"/>
        <v>0</v>
      </c>
      <c r="AE134" s="307">
        <f>SUM(AE131:AE133)</f>
        <v>0</v>
      </c>
      <c r="AF134" s="122">
        <f>SUM(AF131:AF133)</f>
        <v>0</v>
      </c>
      <c r="AG134" s="122">
        <f t="shared" si="68"/>
        <v>0</v>
      </c>
      <c r="AH134" s="307">
        <f t="shared" si="68"/>
        <v>0</v>
      </c>
      <c r="AI134" s="122">
        <f t="shared" si="68"/>
        <v>0</v>
      </c>
      <c r="AJ134" s="122">
        <f t="shared" si="68"/>
        <v>0</v>
      </c>
    </row>
    <row r="135" spans="1:36" ht="12">
      <c r="A135" s="115"/>
      <c r="B135" s="117">
        <v>0</v>
      </c>
      <c r="C135" s="117"/>
      <c r="D135" s="305"/>
      <c r="E135" s="120">
        <f>SUM(B135:D135)</f>
        <v>0</v>
      </c>
      <c r="F135" s="305">
        <f>isk!D98</f>
        <v>0</v>
      </c>
      <c r="G135" s="305"/>
      <c r="H135" s="120">
        <f>SUM(F135:G135)</f>
        <v>0</v>
      </c>
      <c r="I135" s="117"/>
      <c r="J135" s="305"/>
      <c r="K135" s="305"/>
      <c r="L135" s="305"/>
      <c r="M135" s="305"/>
      <c r="N135" s="305"/>
      <c r="O135" s="120">
        <f>SUM(I135:N135)</f>
        <v>0</v>
      </c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120">
        <f>SUM(P135:Y135)</f>
        <v>0</v>
      </c>
      <c r="AA135" s="305"/>
      <c r="AB135" s="305">
        <f>AA135*iét!$D$226</f>
        <v>0</v>
      </c>
      <c r="AC135" s="305">
        <f>AA135*iét!$D$227</f>
        <v>0</v>
      </c>
      <c r="AD135" s="305">
        <f>AA135*iét!$D$228</f>
        <v>0</v>
      </c>
      <c r="AE135" s="305">
        <f>AA135*iét!$D$229</f>
        <v>0</v>
      </c>
      <c r="AF135" s="120">
        <f t="shared" si="66"/>
        <v>0</v>
      </c>
      <c r="AG135" s="117"/>
      <c r="AH135" s="305">
        <f>elsz!D115</f>
        <v>0</v>
      </c>
      <c r="AI135" s="120">
        <f>SUM(AG135:AH135)</f>
        <v>0</v>
      </c>
      <c r="AJ135" s="131">
        <f t="shared" si="67"/>
        <v>0</v>
      </c>
    </row>
    <row r="136" spans="1:36" ht="12">
      <c r="A136" s="115">
        <f>elsz!A114</f>
        <v>0</v>
      </c>
      <c r="B136" s="117"/>
      <c r="C136" s="117"/>
      <c r="D136" s="305"/>
      <c r="E136" s="120">
        <f>SUM(B136:D136)</f>
        <v>0</v>
      </c>
      <c r="F136" s="305"/>
      <c r="G136" s="305"/>
      <c r="H136" s="120">
        <f>SUM(F136:G136)</f>
        <v>0</v>
      </c>
      <c r="I136" s="117"/>
      <c r="J136" s="305"/>
      <c r="K136" s="305"/>
      <c r="L136" s="305"/>
      <c r="M136" s="305"/>
      <c r="N136" s="305"/>
      <c r="O136" s="120">
        <f>SUM(I136:N136)</f>
        <v>0</v>
      </c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120">
        <f>SUM(P136:Y136)</f>
        <v>0</v>
      </c>
      <c r="AA136" s="305"/>
      <c r="AB136" s="305">
        <f>AA136*iét!$D$226</f>
        <v>0</v>
      </c>
      <c r="AC136" s="305">
        <f>AA136*iét!$D$227</f>
        <v>0</v>
      </c>
      <c r="AD136" s="305">
        <f>AA136*iét!$D$228</f>
        <v>0</v>
      </c>
      <c r="AE136" s="305">
        <f>AA136*iét!$D$229</f>
        <v>0</v>
      </c>
      <c r="AF136" s="120">
        <f t="shared" si="66"/>
        <v>0</v>
      </c>
      <c r="AG136" s="117"/>
      <c r="AH136" s="305"/>
      <c r="AI136" s="120">
        <f>SUM(AG136:AH136)</f>
        <v>0</v>
      </c>
      <c r="AJ136" s="131">
        <f t="shared" si="67"/>
        <v>0</v>
      </c>
    </row>
    <row r="137" spans="1:36" ht="12">
      <c r="A137" s="115"/>
      <c r="B137" s="117"/>
      <c r="C137" s="117"/>
      <c r="D137" s="305"/>
      <c r="E137" s="120">
        <f>SUM(B137:D137)</f>
        <v>0</v>
      </c>
      <c r="F137" s="305"/>
      <c r="G137" s="305"/>
      <c r="H137" s="120">
        <f>SUM(F137:G137)</f>
        <v>0</v>
      </c>
      <c r="I137" s="117"/>
      <c r="J137" s="305"/>
      <c r="K137" s="305"/>
      <c r="L137" s="305"/>
      <c r="M137" s="305"/>
      <c r="N137" s="305"/>
      <c r="O137" s="120">
        <f>SUM(I137:N137)</f>
        <v>0</v>
      </c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120">
        <f>SUM(P137:Y137)</f>
        <v>0</v>
      </c>
      <c r="AA137" s="305"/>
      <c r="AB137" s="305"/>
      <c r="AC137" s="305"/>
      <c r="AD137" s="305"/>
      <c r="AE137" s="305">
        <f>AA137*iét!$D$229</f>
        <v>0</v>
      </c>
      <c r="AF137" s="120">
        <f t="shared" si="66"/>
        <v>0</v>
      </c>
      <c r="AG137" s="117"/>
      <c r="AH137" s="305"/>
      <c r="AI137" s="120">
        <f>SUM(AG137:AH137)</f>
        <v>0</v>
      </c>
      <c r="AJ137" s="131">
        <f t="shared" si="67"/>
        <v>0</v>
      </c>
    </row>
    <row r="138" spans="1:36" ht="12">
      <c r="A138" s="121" t="s">
        <v>1578</v>
      </c>
      <c r="B138" s="122">
        <f aca="true" t="shared" si="69" ref="B138:AJ138">SUM(B135:B137)</f>
        <v>0</v>
      </c>
      <c r="C138" s="122"/>
      <c r="D138" s="307">
        <f t="shared" si="69"/>
        <v>0</v>
      </c>
      <c r="E138" s="122">
        <f t="shared" si="69"/>
        <v>0</v>
      </c>
      <c r="F138" s="307">
        <f>SUM(F135:F137)</f>
        <v>0</v>
      </c>
      <c r="G138" s="307">
        <f t="shared" si="69"/>
        <v>0</v>
      </c>
      <c r="H138" s="122">
        <f t="shared" si="69"/>
        <v>0</v>
      </c>
      <c r="I138" s="122">
        <f t="shared" si="69"/>
        <v>0</v>
      </c>
      <c r="J138" s="307">
        <f t="shared" si="69"/>
        <v>0</v>
      </c>
      <c r="K138" s="307">
        <f t="shared" si="69"/>
        <v>0</v>
      </c>
      <c r="L138" s="307">
        <f t="shared" si="69"/>
        <v>0</v>
      </c>
      <c r="M138" s="307">
        <f t="shared" si="69"/>
        <v>0</v>
      </c>
      <c r="N138" s="307">
        <f t="shared" si="69"/>
        <v>0</v>
      </c>
      <c r="O138" s="122">
        <f t="shared" si="69"/>
        <v>0</v>
      </c>
      <c r="P138" s="307">
        <f t="shared" si="69"/>
        <v>0</v>
      </c>
      <c r="Q138" s="307">
        <f t="shared" si="69"/>
        <v>0</v>
      </c>
      <c r="R138" s="307">
        <f t="shared" si="69"/>
        <v>0</v>
      </c>
      <c r="S138" s="307">
        <f t="shared" si="69"/>
        <v>0</v>
      </c>
      <c r="T138" s="307">
        <f t="shared" si="69"/>
        <v>0</v>
      </c>
      <c r="U138" s="307">
        <f>SUM(U135:U137)</f>
        <v>0</v>
      </c>
      <c r="V138" s="307">
        <f>SUM(V135:V137)</f>
        <v>0</v>
      </c>
      <c r="W138" s="307"/>
      <c r="X138" s="307"/>
      <c r="Y138" s="307">
        <f>SUM(Y135:Y137)</f>
        <v>0</v>
      </c>
      <c r="Z138" s="122">
        <f t="shared" si="69"/>
        <v>0</v>
      </c>
      <c r="AA138" s="307">
        <f t="shared" si="69"/>
        <v>0</v>
      </c>
      <c r="AB138" s="307">
        <f t="shared" si="69"/>
        <v>0</v>
      </c>
      <c r="AC138" s="307">
        <f t="shared" si="69"/>
        <v>0</v>
      </c>
      <c r="AD138" s="307">
        <f t="shared" si="69"/>
        <v>0</v>
      </c>
      <c r="AE138" s="307">
        <f>SUM(AE135:AE137)</f>
        <v>0</v>
      </c>
      <c r="AF138" s="122">
        <f>SUM(AF135:AF137)</f>
        <v>0</v>
      </c>
      <c r="AG138" s="122">
        <f t="shared" si="69"/>
        <v>0</v>
      </c>
      <c r="AH138" s="307">
        <f t="shared" si="69"/>
        <v>0</v>
      </c>
      <c r="AI138" s="122">
        <f t="shared" si="69"/>
        <v>0</v>
      </c>
      <c r="AJ138" s="122">
        <f t="shared" si="69"/>
        <v>0</v>
      </c>
    </row>
    <row r="139" spans="1:36" ht="12">
      <c r="A139" s="115"/>
      <c r="B139" s="117">
        <v>0</v>
      </c>
      <c r="C139" s="117"/>
      <c r="D139" s="305"/>
      <c r="E139" s="120">
        <f>SUM(B139:D139)</f>
        <v>0</v>
      </c>
      <c r="F139" s="305"/>
      <c r="G139" s="305"/>
      <c r="H139" s="120">
        <f>SUM(F139:G139)</f>
        <v>0</v>
      </c>
      <c r="I139" s="117"/>
      <c r="J139" s="305"/>
      <c r="K139" s="305"/>
      <c r="L139" s="305"/>
      <c r="M139" s="305"/>
      <c r="N139" s="305"/>
      <c r="O139" s="120">
        <f>SUM(I139:N139)</f>
        <v>0</v>
      </c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120">
        <f>SUM(P139:Y139)</f>
        <v>0</v>
      </c>
      <c r="AA139" s="305"/>
      <c r="AB139" s="305">
        <f>AA139*iét!$D$226</f>
        <v>0</v>
      </c>
      <c r="AC139" s="305">
        <f>AA139*iét!$D$227</f>
        <v>0</v>
      </c>
      <c r="AD139" s="305">
        <f>AA139*iét!$D$228</f>
        <v>0</v>
      </c>
      <c r="AE139" s="305">
        <f>AA139*iét!$D$229</f>
        <v>0</v>
      </c>
      <c r="AF139" s="120">
        <f t="shared" si="66"/>
        <v>0</v>
      </c>
      <c r="AG139" s="117"/>
      <c r="AH139" s="305"/>
      <c r="AI139" s="120">
        <f>SUM(AG139:AH139)</f>
        <v>0</v>
      </c>
      <c r="AJ139" s="131">
        <f t="shared" si="67"/>
        <v>0</v>
      </c>
    </row>
    <row r="140" spans="1:36" ht="12">
      <c r="A140" s="115"/>
      <c r="B140" s="117"/>
      <c r="C140" s="117"/>
      <c r="D140" s="305"/>
      <c r="E140" s="120">
        <f>SUM(B140:D140)</f>
        <v>0</v>
      </c>
      <c r="F140" s="305"/>
      <c r="G140" s="305"/>
      <c r="H140" s="120">
        <f>SUM(F140:G140)</f>
        <v>0</v>
      </c>
      <c r="I140" s="117"/>
      <c r="J140" s="305"/>
      <c r="K140" s="305"/>
      <c r="L140" s="305"/>
      <c r="M140" s="305"/>
      <c r="N140" s="305"/>
      <c r="O140" s="120">
        <f>SUM(I140:N140)</f>
        <v>0</v>
      </c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120">
        <f>SUM(P140:Y140)</f>
        <v>0</v>
      </c>
      <c r="AA140" s="305"/>
      <c r="AB140" s="305">
        <f>AA140*iét!$D$226</f>
        <v>0</v>
      </c>
      <c r="AC140" s="305">
        <f>AA140*iét!$D$227</f>
        <v>0</v>
      </c>
      <c r="AD140" s="305">
        <f>AA140*iét!$D$228</f>
        <v>0</v>
      </c>
      <c r="AE140" s="305">
        <f>AA140*iét!$D$229</f>
        <v>0</v>
      </c>
      <c r="AF140" s="120">
        <f t="shared" si="66"/>
        <v>0</v>
      </c>
      <c r="AG140" s="117"/>
      <c r="AH140" s="305"/>
      <c r="AI140" s="120">
        <f>SUM(AG140:AH140)</f>
        <v>0</v>
      </c>
      <c r="AJ140" s="131">
        <f t="shared" si="67"/>
        <v>0</v>
      </c>
    </row>
    <row r="141" spans="1:36" ht="12">
      <c r="A141" s="115"/>
      <c r="B141" s="117"/>
      <c r="C141" s="117"/>
      <c r="D141" s="305"/>
      <c r="E141" s="120">
        <f>SUM(B141:D141)</f>
        <v>0</v>
      </c>
      <c r="F141" s="305"/>
      <c r="G141" s="305"/>
      <c r="H141" s="120">
        <f>SUM(F141:G141)</f>
        <v>0</v>
      </c>
      <c r="I141" s="117"/>
      <c r="J141" s="305"/>
      <c r="K141" s="305"/>
      <c r="L141" s="305"/>
      <c r="M141" s="305"/>
      <c r="N141" s="305"/>
      <c r="O141" s="120">
        <f>SUM(I141:N141)</f>
        <v>0</v>
      </c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120">
        <f>SUM(P141:Y141)</f>
        <v>0</v>
      </c>
      <c r="AA141" s="305"/>
      <c r="AB141" s="305">
        <f>AA141*iét!$D$226</f>
        <v>0</v>
      </c>
      <c r="AC141" s="305">
        <f>AA141*iét!$D$227</f>
        <v>0</v>
      </c>
      <c r="AD141" s="305">
        <f>AA141*iét!$D$228</f>
        <v>0</v>
      </c>
      <c r="AE141" s="305">
        <f>AA141*iét!$D$229</f>
        <v>0</v>
      </c>
      <c r="AF141" s="120">
        <f t="shared" si="66"/>
        <v>0</v>
      </c>
      <c r="AG141" s="117"/>
      <c r="AH141" s="305"/>
      <c r="AI141" s="120">
        <f>SUM(AG141:AH141)</f>
        <v>0</v>
      </c>
      <c r="AJ141" s="131">
        <f t="shared" si="67"/>
        <v>0</v>
      </c>
    </row>
    <row r="142" spans="1:36" ht="12">
      <c r="A142" s="115"/>
      <c r="B142" s="117"/>
      <c r="C142" s="117"/>
      <c r="D142" s="305"/>
      <c r="E142" s="120">
        <f>SUM(B142:D142)</f>
        <v>0</v>
      </c>
      <c r="F142" s="305"/>
      <c r="G142" s="305"/>
      <c r="H142" s="120">
        <f>SUM(F142:G142)</f>
        <v>0</v>
      </c>
      <c r="I142" s="117"/>
      <c r="J142" s="305"/>
      <c r="K142" s="305"/>
      <c r="L142" s="305"/>
      <c r="M142" s="305"/>
      <c r="N142" s="305"/>
      <c r="O142" s="120">
        <f>SUM(I142:N142)</f>
        <v>0</v>
      </c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120">
        <f>SUM(P142:Y142)</f>
        <v>0</v>
      </c>
      <c r="AA142" s="305"/>
      <c r="AB142" s="305">
        <f>AA142*iét!$D$226</f>
        <v>0</v>
      </c>
      <c r="AC142" s="305">
        <f>AA142*iét!$D$227</f>
        <v>0</v>
      </c>
      <c r="AD142" s="305">
        <f>AA142*iét!$D$228</f>
        <v>0</v>
      </c>
      <c r="AE142" s="305">
        <f>AA142*iét!$D$229</f>
        <v>0</v>
      </c>
      <c r="AF142" s="120">
        <f t="shared" si="66"/>
        <v>0</v>
      </c>
      <c r="AG142" s="117"/>
      <c r="AH142" s="305"/>
      <c r="AI142" s="120">
        <f>SUM(AG142:AH142)</f>
        <v>0</v>
      </c>
      <c r="AJ142" s="131">
        <f t="shared" si="67"/>
        <v>0</v>
      </c>
    </row>
    <row r="143" spans="1:36" ht="12">
      <c r="A143" s="121" t="s">
        <v>1579</v>
      </c>
      <c r="B143" s="122">
        <f aca="true" t="shared" si="70" ref="B143:AI143">SUM(B139:B142)</f>
        <v>0</v>
      </c>
      <c r="C143" s="122"/>
      <c r="D143" s="307">
        <f t="shared" si="70"/>
        <v>0</v>
      </c>
      <c r="E143" s="122">
        <f t="shared" si="70"/>
        <v>0</v>
      </c>
      <c r="F143" s="307">
        <f t="shared" si="70"/>
        <v>0</v>
      </c>
      <c r="G143" s="307">
        <f t="shared" si="70"/>
        <v>0</v>
      </c>
      <c r="H143" s="122">
        <f t="shared" si="70"/>
        <v>0</v>
      </c>
      <c r="I143" s="122">
        <f t="shared" si="70"/>
        <v>0</v>
      </c>
      <c r="J143" s="307">
        <f t="shared" si="70"/>
        <v>0</v>
      </c>
      <c r="K143" s="307">
        <f t="shared" si="70"/>
        <v>0</v>
      </c>
      <c r="L143" s="307">
        <f t="shared" si="70"/>
        <v>0</v>
      </c>
      <c r="M143" s="307">
        <f t="shared" si="70"/>
        <v>0</v>
      </c>
      <c r="N143" s="307">
        <f t="shared" si="70"/>
        <v>0</v>
      </c>
      <c r="O143" s="122">
        <f t="shared" si="70"/>
        <v>0</v>
      </c>
      <c r="P143" s="307">
        <f t="shared" si="70"/>
        <v>0</v>
      </c>
      <c r="Q143" s="307">
        <f t="shared" si="70"/>
        <v>0</v>
      </c>
      <c r="R143" s="307">
        <f t="shared" si="70"/>
        <v>0</v>
      </c>
      <c r="S143" s="307">
        <f t="shared" si="70"/>
        <v>0</v>
      </c>
      <c r="T143" s="307">
        <f t="shared" si="70"/>
        <v>0</v>
      </c>
      <c r="U143" s="307">
        <f>SUM(U139:U142)</f>
        <v>0</v>
      </c>
      <c r="V143" s="307">
        <f>SUM(V139:V142)</f>
        <v>0</v>
      </c>
      <c r="W143" s="307"/>
      <c r="X143" s="307"/>
      <c r="Y143" s="307">
        <f>SUM(Y139:Y142)</f>
        <v>0</v>
      </c>
      <c r="Z143" s="122">
        <f>SUM(Z139:Z142)</f>
        <v>0</v>
      </c>
      <c r="AA143" s="307">
        <f t="shared" si="70"/>
        <v>0</v>
      </c>
      <c r="AB143" s="307">
        <f t="shared" si="70"/>
        <v>0</v>
      </c>
      <c r="AC143" s="307">
        <f t="shared" si="70"/>
        <v>0</v>
      </c>
      <c r="AD143" s="307">
        <f t="shared" si="70"/>
        <v>0</v>
      </c>
      <c r="AE143" s="307">
        <f>SUM(AE139:AE142)</f>
        <v>0</v>
      </c>
      <c r="AF143" s="122">
        <f>SUM(AF139:AF142)</f>
        <v>0</v>
      </c>
      <c r="AG143" s="122">
        <f t="shared" si="70"/>
        <v>0</v>
      </c>
      <c r="AH143" s="307">
        <f t="shared" si="70"/>
        <v>0</v>
      </c>
      <c r="AI143" s="122">
        <f t="shared" si="70"/>
        <v>0</v>
      </c>
      <c r="AJ143" s="122">
        <f>SUM(AJ144:AJ147)</f>
        <v>0</v>
      </c>
    </row>
    <row r="144" spans="1:36" ht="12">
      <c r="A144" s="115"/>
      <c r="B144" s="117">
        <v>0</v>
      </c>
      <c r="C144" s="117"/>
      <c r="D144" s="305"/>
      <c r="E144" s="120">
        <f>SUM(B144:D144)</f>
        <v>0</v>
      </c>
      <c r="F144" s="305"/>
      <c r="G144" s="305"/>
      <c r="H144" s="120">
        <f>SUM(F144:G144)</f>
        <v>0</v>
      </c>
      <c r="I144" s="117"/>
      <c r="J144" s="305"/>
      <c r="K144" s="305"/>
      <c r="L144" s="305"/>
      <c r="M144" s="305"/>
      <c r="N144" s="305"/>
      <c r="O144" s="120">
        <f>SUM(I144:N144)</f>
        <v>0</v>
      </c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120">
        <f>SUM(P144:Y144)</f>
        <v>0</v>
      </c>
      <c r="AA144" s="305"/>
      <c r="AB144" s="305">
        <f>AA144*iét!$D$226</f>
        <v>0</v>
      </c>
      <c r="AC144" s="305">
        <f>AA144*iét!$D$227</f>
        <v>0</v>
      </c>
      <c r="AD144" s="305">
        <f>AA144*iét!$D$228</f>
        <v>0</v>
      </c>
      <c r="AE144" s="305">
        <f>AA144*iét!$D$229</f>
        <v>0</v>
      </c>
      <c r="AF144" s="120">
        <f t="shared" si="66"/>
        <v>0</v>
      </c>
      <c r="AG144" s="117"/>
      <c r="AH144" s="305"/>
      <c r="AI144" s="120">
        <f>SUM(AG144:AH144)</f>
        <v>0</v>
      </c>
      <c r="AJ144" s="131">
        <f t="shared" si="67"/>
        <v>0</v>
      </c>
    </row>
    <row r="145" spans="1:36" ht="12">
      <c r="A145" s="115"/>
      <c r="B145" s="117"/>
      <c r="C145" s="117"/>
      <c r="D145" s="305"/>
      <c r="E145" s="120">
        <f>SUM(B145:D145)</f>
        <v>0</v>
      </c>
      <c r="F145" s="305"/>
      <c r="G145" s="305"/>
      <c r="H145" s="120">
        <f>SUM(F145:G145)</f>
        <v>0</v>
      </c>
      <c r="I145" s="117"/>
      <c r="J145" s="305"/>
      <c r="K145" s="305"/>
      <c r="L145" s="305"/>
      <c r="M145" s="305"/>
      <c r="N145" s="305"/>
      <c r="O145" s="120">
        <f>SUM(I145:N145)</f>
        <v>0</v>
      </c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120">
        <f>SUM(P145:Y145)</f>
        <v>0</v>
      </c>
      <c r="AA145" s="305"/>
      <c r="AB145" s="305">
        <f>AA145*iét!$D$226</f>
        <v>0</v>
      </c>
      <c r="AC145" s="305">
        <f>AA145*iét!$D$227</f>
        <v>0</v>
      </c>
      <c r="AD145" s="305">
        <f>AA145*iét!$D$228</f>
        <v>0</v>
      </c>
      <c r="AE145" s="305">
        <f>AA145*iét!$D$229</f>
        <v>0</v>
      </c>
      <c r="AF145" s="120">
        <f t="shared" si="66"/>
        <v>0</v>
      </c>
      <c r="AG145" s="117"/>
      <c r="AH145" s="305"/>
      <c r="AI145" s="120">
        <f>SUM(AG145:AH145)</f>
        <v>0</v>
      </c>
      <c r="AJ145" s="131">
        <f t="shared" si="67"/>
        <v>0</v>
      </c>
    </row>
    <row r="146" spans="1:36" ht="12">
      <c r="A146" s="115"/>
      <c r="B146" s="117"/>
      <c r="C146" s="117"/>
      <c r="D146" s="305"/>
      <c r="E146" s="120">
        <f>SUM(B146:D146)</f>
        <v>0</v>
      </c>
      <c r="F146" s="305"/>
      <c r="G146" s="305"/>
      <c r="H146" s="120">
        <f>SUM(F146:G146)</f>
        <v>0</v>
      </c>
      <c r="I146" s="117"/>
      <c r="J146" s="305"/>
      <c r="K146" s="305"/>
      <c r="L146" s="305"/>
      <c r="M146" s="305"/>
      <c r="N146" s="305"/>
      <c r="O146" s="120">
        <f>SUM(I146:N146)</f>
        <v>0</v>
      </c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120">
        <f>SUM(P146:Y146)</f>
        <v>0</v>
      </c>
      <c r="AA146" s="305"/>
      <c r="AB146" s="305">
        <f>AA146*iét!$D$226</f>
        <v>0</v>
      </c>
      <c r="AC146" s="305">
        <f>AA146*iét!$D$227</f>
        <v>0</v>
      </c>
      <c r="AD146" s="305">
        <f>AA146*iét!$D$228</f>
        <v>0</v>
      </c>
      <c r="AE146" s="305">
        <f>AA146*iét!$D$229</f>
        <v>0</v>
      </c>
      <c r="AF146" s="120">
        <f t="shared" si="66"/>
        <v>0</v>
      </c>
      <c r="AG146" s="117"/>
      <c r="AH146" s="305"/>
      <c r="AI146" s="120">
        <f>SUM(AG146:AH146)</f>
        <v>0</v>
      </c>
      <c r="AJ146" s="131">
        <f t="shared" si="67"/>
        <v>0</v>
      </c>
    </row>
    <row r="147" spans="1:36" ht="12">
      <c r="A147" s="115"/>
      <c r="B147" s="117"/>
      <c r="C147" s="117"/>
      <c r="D147" s="305"/>
      <c r="E147" s="120">
        <f>SUM(B147:D147)</f>
        <v>0</v>
      </c>
      <c r="F147" s="305"/>
      <c r="G147" s="305"/>
      <c r="H147" s="120">
        <f>SUM(F147:G147)</f>
        <v>0</v>
      </c>
      <c r="I147" s="117"/>
      <c r="J147" s="305"/>
      <c r="K147" s="305"/>
      <c r="L147" s="305"/>
      <c r="M147" s="305"/>
      <c r="N147" s="305"/>
      <c r="O147" s="120">
        <f>SUM(I147:N147)</f>
        <v>0</v>
      </c>
      <c r="P147" s="305"/>
      <c r="Q147" s="305"/>
      <c r="R147" s="305"/>
      <c r="S147" s="305"/>
      <c r="T147" s="305"/>
      <c r="U147" s="305"/>
      <c r="V147" s="305"/>
      <c r="W147" s="305"/>
      <c r="X147" s="305"/>
      <c r="Y147" s="305"/>
      <c r="Z147" s="120">
        <f>SUM(P147:Y147)</f>
        <v>0</v>
      </c>
      <c r="AA147" s="305"/>
      <c r="AB147" s="305">
        <f>AA147*iét!$D$226</f>
        <v>0</v>
      </c>
      <c r="AC147" s="305">
        <f>AA147*iét!$D$227</f>
        <v>0</v>
      </c>
      <c r="AD147" s="305">
        <f>AA147*iét!$D$228</f>
        <v>0</v>
      </c>
      <c r="AE147" s="305">
        <f>AA147*iét!$D$229</f>
        <v>0</v>
      </c>
      <c r="AF147" s="120">
        <f t="shared" si="66"/>
        <v>0</v>
      </c>
      <c r="AG147" s="117"/>
      <c r="AH147" s="305"/>
      <c r="AI147" s="120">
        <f>SUM(AG147:AH147)</f>
        <v>0</v>
      </c>
      <c r="AJ147" s="131">
        <f t="shared" si="67"/>
        <v>0</v>
      </c>
    </row>
    <row r="148" spans="1:36" ht="12">
      <c r="A148" s="121" t="s">
        <v>1532</v>
      </c>
      <c r="B148" s="122">
        <f aca="true" t="shared" si="71" ref="B148:AJ148">SUM(B144:B147)</f>
        <v>0</v>
      </c>
      <c r="C148" s="122"/>
      <c r="D148" s="307">
        <f t="shared" si="71"/>
        <v>0</v>
      </c>
      <c r="E148" s="122">
        <f t="shared" si="71"/>
        <v>0</v>
      </c>
      <c r="F148" s="307">
        <f t="shared" si="71"/>
        <v>0</v>
      </c>
      <c r="G148" s="307">
        <f t="shared" si="71"/>
        <v>0</v>
      </c>
      <c r="H148" s="122">
        <f t="shared" si="71"/>
        <v>0</v>
      </c>
      <c r="I148" s="122">
        <f t="shared" si="71"/>
        <v>0</v>
      </c>
      <c r="J148" s="307">
        <f t="shared" si="71"/>
        <v>0</v>
      </c>
      <c r="K148" s="307">
        <f t="shared" si="71"/>
        <v>0</v>
      </c>
      <c r="L148" s="307">
        <f t="shared" si="71"/>
        <v>0</v>
      </c>
      <c r="M148" s="307">
        <f t="shared" si="71"/>
        <v>0</v>
      </c>
      <c r="N148" s="307">
        <f t="shared" si="71"/>
        <v>0</v>
      </c>
      <c r="O148" s="122">
        <f t="shared" si="71"/>
        <v>0</v>
      </c>
      <c r="P148" s="307">
        <f t="shared" si="71"/>
        <v>0</v>
      </c>
      <c r="Q148" s="307">
        <f t="shared" si="71"/>
        <v>0</v>
      </c>
      <c r="R148" s="307">
        <f t="shared" si="71"/>
        <v>0</v>
      </c>
      <c r="S148" s="307">
        <f t="shared" si="71"/>
        <v>0</v>
      </c>
      <c r="T148" s="307">
        <f t="shared" si="71"/>
        <v>0</v>
      </c>
      <c r="U148" s="307">
        <f>SUM(U144:U147)</f>
        <v>0</v>
      </c>
      <c r="V148" s="307">
        <f>SUM(V144:V147)</f>
        <v>0</v>
      </c>
      <c r="W148" s="307"/>
      <c r="X148" s="307"/>
      <c r="Y148" s="307">
        <f>SUM(Y144:Y147)</f>
        <v>0</v>
      </c>
      <c r="Z148" s="122">
        <f t="shared" si="71"/>
        <v>0</v>
      </c>
      <c r="AA148" s="307">
        <f t="shared" si="71"/>
        <v>0</v>
      </c>
      <c r="AB148" s="307">
        <f t="shared" si="71"/>
        <v>0</v>
      </c>
      <c r="AC148" s="307">
        <f t="shared" si="71"/>
        <v>0</v>
      </c>
      <c r="AD148" s="307">
        <f t="shared" si="71"/>
        <v>0</v>
      </c>
      <c r="AE148" s="307">
        <f>SUM(AE144:AE147)</f>
        <v>0</v>
      </c>
      <c r="AF148" s="122">
        <f>SUM(AF144:AF147)</f>
        <v>0</v>
      </c>
      <c r="AG148" s="122">
        <f>SUM(AG144:AG147)</f>
        <v>0</v>
      </c>
      <c r="AH148" s="307">
        <f t="shared" si="71"/>
        <v>0</v>
      </c>
      <c r="AI148" s="122">
        <f t="shared" si="71"/>
        <v>0</v>
      </c>
      <c r="AJ148" s="122">
        <f t="shared" si="71"/>
        <v>0</v>
      </c>
    </row>
    <row r="149" spans="1:36" ht="12">
      <c r="A149" s="115" t="s">
        <v>1533</v>
      </c>
      <c r="B149" s="117">
        <v>0</v>
      </c>
      <c r="C149" s="117"/>
      <c r="D149" s="305"/>
      <c r="E149" s="120">
        <f>SUM(B149:D149)</f>
        <v>0</v>
      </c>
      <c r="F149" s="305"/>
      <c r="G149" s="305"/>
      <c r="H149" s="120">
        <f>SUM(F149:G149)</f>
        <v>0</v>
      </c>
      <c r="I149" s="117"/>
      <c r="J149" s="305"/>
      <c r="K149" s="305"/>
      <c r="L149" s="305"/>
      <c r="M149" s="305"/>
      <c r="N149" s="305"/>
      <c r="O149" s="120">
        <f>SUM(I149:N149)</f>
        <v>0</v>
      </c>
      <c r="P149" s="305"/>
      <c r="Q149" s="305"/>
      <c r="R149" s="305"/>
      <c r="S149" s="305"/>
      <c r="T149" s="305"/>
      <c r="U149" s="305"/>
      <c r="V149" s="305"/>
      <c r="W149" s="305"/>
      <c r="X149" s="305"/>
      <c r="Y149" s="305"/>
      <c r="Z149" s="120">
        <f>SUM(P149:Y149)</f>
        <v>0</v>
      </c>
      <c r="AA149" s="305"/>
      <c r="AB149" s="305">
        <f>AA149*iét!$D$226</f>
        <v>0</v>
      </c>
      <c r="AC149" s="305">
        <f>AA149*iét!$D$227</f>
        <v>0</v>
      </c>
      <c r="AD149" s="305">
        <f>AA149*iét!$D$228</f>
        <v>0</v>
      </c>
      <c r="AE149" s="305">
        <f>AA149*iét!$D$229</f>
        <v>0</v>
      </c>
      <c r="AF149" s="120">
        <f t="shared" si="66"/>
        <v>0</v>
      </c>
      <c r="AG149" s="117"/>
      <c r="AH149" s="305"/>
      <c r="AI149" s="120">
        <f>SUM(AG149:AH149)</f>
        <v>0</v>
      </c>
      <c r="AJ149" s="131">
        <f t="shared" si="67"/>
        <v>0</v>
      </c>
    </row>
    <row r="150" spans="1:36" ht="12">
      <c r="A150" s="115" t="s">
        <v>1534</v>
      </c>
      <c r="B150" s="117"/>
      <c r="C150" s="117"/>
      <c r="D150" s="305"/>
      <c r="E150" s="120">
        <f>SUM(B150:D150)</f>
        <v>0</v>
      </c>
      <c r="F150" s="305"/>
      <c r="G150" s="305"/>
      <c r="H150" s="120">
        <f>SUM(F150:G150)</f>
        <v>0</v>
      </c>
      <c r="I150" s="117"/>
      <c r="J150" s="305"/>
      <c r="K150" s="305"/>
      <c r="L150" s="305"/>
      <c r="M150" s="305"/>
      <c r="N150" s="305"/>
      <c r="O150" s="120">
        <f>SUM(I150:N150)</f>
        <v>0</v>
      </c>
      <c r="P150" s="305"/>
      <c r="Q150" s="305"/>
      <c r="R150" s="305"/>
      <c r="S150" s="305"/>
      <c r="T150" s="305"/>
      <c r="U150" s="305"/>
      <c r="V150" s="305"/>
      <c r="W150" s="305"/>
      <c r="X150" s="305"/>
      <c r="Y150" s="305"/>
      <c r="Z150" s="120">
        <f>SUM(P150:Y150)</f>
        <v>0</v>
      </c>
      <c r="AA150" s="305"/>
      <c r="AB150" s="305">
        <f>AA150*iét!$D$226</f>
        <v>0</v>
      </c>
      <c r="AC150" s="305">
        <f>AA150*iét!$D$227</f>
        <v>0</v>
      </c>
      <c r="AD150" s="305">
        <f>AA150*iét!$D$228</f>
        <v>0</v>
      </c>
      <c r="AE150" s="305">
        <f>AA150*iét!$D$229</f>
        <v>0</v>
      </c>
      <c r="AF150" s="120">
        <f t="shared" si="66"/>
        <v>0</v>
      </c>
      <c r="AG150" s="117"/>
      <c r="AH150" s="305"/>
      <c r="AI150" s="120">
        <f>SUM(AG150:AH150)</f>
        <v>0</v>
      </c>
      <c r="AJ150" s="131">
        <f t="shared" si="67"/>
        <v>0</v>
      </c>
    </row>
    <row r="151" spans="1:36" ht="12">
      <c r="A151" s="115" t="s">
        <v>1535</v>
      </c>
      <c r="B151" s="117"/>
      <c r="C151" s="117"/>
      <c r="D151" s="305"/>
      <c r="E151" s="120">
        <f>SUM(B151:D151)</f>
        <v>0</v>
      </c>
      <c r="F151" s="305"/>
      <c r="G151" s="305"/>
      <c r="H151" s="120">
        <f>SUM(F151:G151)</f>
        <v>0</v>
      </c>
      <c r="I151" s="117"/>
      <c r="J151" s="305"/>
      <c r="K151" s="305"/>
      <c r="L151" s="305"/>
      <c r="M151" s="305"/>
      <c r="N151" s="305"/>
      <c r="O151" s="120">
        <f>SUM(I151:N151)</f>
        <v>0</v>
      </c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120">
        <f>SUM(P151:Y151)</f>
        <v>0</v>
      </c>
      <c r="AA151" s="305"/>
      <c r="AB151" s="305">
        <f>AA151*iét!$D$226</f>
        <v>0</v>
      </c>
      <c r="AC151" s="305">
        <f>AA151*iét!$D$227</f>
        <v>0</v>
      </c>
      <c r="AD151" s="305">
        <f>AA151*iét!$D$228</f>
        <v>0</v>
      </c>
      <c r="AE151" s="305">
        <f>AA151*iét!$D$229</f>
        <v>0</v>
      </c>
      <c r="AF151" s="120">
        <f t="shared" si="66"/>
        <v>0</v>
      </c>
      <c r="AG151" s="117"/>
      <c r="AH151" s="305"/>
      <c r="AI151" s="120">
        <f>SUM(AG151:AH151)</f>
        <v>0</v>
      </c>
      <c r="AJ151" s="131">
        <f t="shared" si="67"/>
        <v>0</v>
      </c>
    </row>
    <row r="152" spans="1:36" ht="12">
      <c r="A152" s="121" t="s">
        <v>1536</v>
      </c>
      <c r="B152" s="122">
        <f aca="true" t="shared" si="72" ref="B152:AJ152">SUM(B149:B151)</f>
        <v>0</v>
      </c>
      <c r="C152" s="122"/>
      <c r="D152" s="307">
        <f t="shared" si="72"/>
        <v>0</v>
      </c>
      <c r="E152" s="122">
        <f t="shared" si="72"/>
        <v>0</v>
      </c>
      <c r="F152" s="307">
        <f t="shared" si="72"/>
        <v>0</v>
      </c>
      <c r="G152" s="307">
        <f t="shared" si="72"/>
        <v>0</v>
      </c>
      <c r="H152" s="122">
        <f t="shared" si="72"/>
        <v>0</v>
      </c>
      <c r="I152" s="122">
        <f t="shared" si="72"/>
        <v>0</v>
      </c>
      <c r="J152" s="307">
        <f t="shared" si="72"/>
        <v>0</v>
      </c>
      <c r="K152" s="307">
        <f t="shared" si="72"/>
        <v>0</v>
      </c>
      <c r="L152" s="307">
        <f t="shared" si="72"/>
        <v>0</v>
      </c>
      <c r="M152" s="307">
        <f t="shared" si="72"/>
        <v>0</v>
      </c>
      <c r="N152" s="307">
        <f t="shared" si="72"/>
        <v>0</v>
      </c>
      <c r="O152" s="122">
        <f t="shared" si="72"/>
        <v>0</v>
      </c>
      <c r="P152" s="307">
        <f t="shared" si="72"/>
        <v>0</v>
      </c>
      <c r="Q152" s="307">
        <f t="shared" si="72"/>
        <v>0</v>
      </c>
      <c r="R152" s="307">
        <f t="shared" si="72"/>
        <v>0</v>
      </c>
      <c r="S152" s="307">
        <f t="shared" si="72"/>
        <v>0</v>
      </c>
      <c r="T152" s="307">
        <f t="shared" si="72"/>
        <v>0</v>
      </c>
      <c r="U152" s="307">
        <f>SUM(U149:U151)</f>
        <v>0</v>
      </c>
      <c r="V152" s="307">
        <f>SUM(V149:V151)</f>
        <v>0</v>
      </c>
      <c r="W152" s="307"/>
      <c r="X152" s="307"/>
      <c r="Y152" s="307">
        <f>SUM(Y149:Y151)</f>
        <v>0</v>
      </c>
      <c r="Z152" s="122">
        <f t="shared" si="72"/>
        <v>0</v>
      </c>
      <c r="AA152" s="307">
        <f t="shared" si="72"/>
        <v>0</v>
      </c>
      <c r="AB152" s="307">
        <f t="shared" si="72"/>
        <v>0</v>
      </c>
      <c r="AC152" s="307">
        <f t="shared" si="72"/>
        <v>0</v>
      </c>
      <c r="AD152" s="307">
        <f t="shared" si="72"/>
        <v>0</v>
      </c>
      <c r="AE152" s="307">
        <f>SUM(AE149:AE151)</f>
        <v>0</v>
      </c>
      <c r="AF152" s="122">
        <f>SUM(AF149:AF151)</f>
        <v>0</v>
      </c>
      <c r="AG152" s="122">
        <f t="shared" si="72"/>
        <v>0</v>
      </c>
      <c r="AH152" s="307">
        <f t="shared" si="72"/>
        <v>0</v>
      </c>
      <c r="AI152" s="122">
        <f t="shared" si="72"/>
        <v>0</v>
      </c>
      <c r="AJ152" s="122">
        <f t="shared" si="72"/>
        <v>0</v>
      </c>
    </row>
    <row r="153" spans="1:36" ht="12">
      <c r="A153" s="116" t="s">
        <v>1537</v>
      </c>
      <c r="B153" s="118">
        <f aca="true" t="shared" si="73" ref="B153:AJ153">B134+B138+B143+B148+B152</f>
        <v>0</v>
      </c>
      <c r="C153" s="118"/>
      <c r="D153" s="308">
        <f t="shared" si="73"/>
        <v>0</v>
      </c>
      <c r="E153" s="118">
        <f t="shared" si="73"/>
        <v>0</v>
      </c>
      <c r="F153" s="308">
        <f t="shared" si="73"/>
        <v>0</v>
      </c>
      <c r="G153" s="308">
        <f t="shared" si="73"/>
        <v>0</v>
      </c>
      <c r="H153" s="118">
        <f t="shared" si="73"/>
        <v>0</v>
      </c>
      <c r="I153" s="118">
        <f t="shared" si="73"/>
        <v>0</v>
      </c>
      <c r="J153" s="308">
        <f t="shared" si="73"/>
        <v>0</v>
      </c>
      <c r="K153" s="308">
        <f t="shared" si="73"/>
        <v>0</v>
      </c>
      <c r="L153" s="308">
        <f t="shared" si="73"/>
        <v>0</v>
      </c>
      <c r="M153" s="308">
        <f t="shared" si="73"/>
        <v>0</v>
      </c>
      <c r="N153" s="308">
        <f t="shared" si="73"/>
        <v>0</v>
      </c>
      <c r="O153" s="118">
        <f t="shared" si="73"/>
        <v>0</v>
      </c>
      <c r="P153" s="308">
        <f t="shared" si="73"/>
        <v>0</v>
      </c>
      <c r="Q153" s="308">
        <f t="shared" si="73"/>
        <v>0</v>
      </c>
      <c r="R153" s="308">
        <f t="shared" si="73"/>
        <v>0</v>
      </c>
      <c r="S153" s="308">
        <f t="shared" si="73"/>
        <v>0</v>
      </c>
      <c r="T153" s="308">
        <f t="shared" si="73"/>
        <v>0</v>
      </c>
      <c r="U153" s="308">
        <f>U134+U138+U143+U148+U152</f>
        <v>0</v>
      </c>
      <c r="V153" s="308">
        <f>V134+V138+V143+V148+V152</f>
        <v>0</v>
      </c>
      <c r="W153" s="308"/>
      <c r="X153" s="308"/>
      <c r="Y153" s="308">
        <f>Y134+Y138+Y143+Y148+Y152</f>
        <v>0</v>
      </c>
      <c r="Z153" s="118">
        <f t="shared" si="73"/>
        <v>0</v>
      </c>
      <c r="AA153" s="308">
        <f t="shared" si="73"/>
        <v>0</v>
      </c>
      <c r="AB153" s="308">
        <f t="shared" si="73"/>
        <v>0</v>
      </c>
      <c r="AC153" s="308">
        <f t="shared" si="73"/>
        <v>0</v>
      </c>
      <c r="AD153" s="308">
        <f t="shared" si="73"/>
        <v>0</v>
      </c>
      <c r="AE153" s="308">
        <f>AE134+AE138+AE143+AE148+AE152</f>
        <v>0</v>
      </c>
      <c r="AF153" s="118">
        <f>AF134+AF138+AF143+AF148+AF152</f>
        <v>0</v>
      </c>
      <c r="AG153" s="118">
        <f t="shared" si="73"/>
        <v>0</v>
      </c>
      <c r="AH153" s="308">
        <f t="shared" si="73"/>
        <v>0</v>
      </c>
      <c r="AI153" s="118">
        <f t="shared" si="73"/>
        <v>0</v>
      </c>
      <c r="AJ153" s="118">
        <f t="shared" si="73"/>
        <v>0</v>
      </c>
    </row>
    <row r="154" spans="1:36" ht="12">
      <c r="A154" s="115" t="s">
        <v>1538</v>
      </c>
      <c r="B154" s="305">
        <f>hiv!D185</f>
        <v>4000</v>
      </c>
      <c r="C154" s="117"/>
      <c r="D154" s="305"/>
      <c r="E154" s="120">
        <f>SUM(B154:D154)</f>
        <v>4000</v>
      </c>
      <c r="F154" s="305"/>
      <c r="G154" s="305"/>
      <c r="H154" s="120">
        <f>SUM(F154:G154)</f>
        <v>0</v>
      </c>
      <c r="I154" s="117"/>
      <c r="J154" s="305"/>
      <c r="K154" s="305"/>
      <c r="L154" s="305"/>
      <c r="M154" s="305"/>
      <c r="N154" s="305"/>
      <c r="O154" s="120">
        <f>SUM(I154:N154)</f>
        <v>0</v>
      </c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120">
        <f>SUM(P154:Y154)</f>
        <v>0</v>
      </c>
      <c r="AA154" s="305"/>
      <c r="AB154" s="305">
        <f>AA154*iét!$D$226</f>
        <v>0</v>
      </c>
      <c r="AC154" s="305">
        <f>AA154*iét!$D$227</f>
        <v>0</v>
      </c>
      <c r="AD154" s="305">
        <f>AA154*iét!$D$228</f>
        <v>0</v>
      </c>
      <c r="AE154" s="305">
        <f>AA154*iét!$D$229</f>
        <v>0</v>
      </c>
      <c r="AF154" s="120">
        <f t="shared" si="66"/>
        <v>0</v>
      </c>
      <c r="AG154" s="117"/>
      <c r="AH154" s="305"/>
      <c r="AI154" s="120">
        <f>SUM(AG154:AH154)</f>
        <v>0</v>
      </c>
      <c r="AJ154" s="346">
        <f>E154+H154+O154+Z154+AF154+AI154</f>
        <v>4000</v>
      </c>
    </row>
    <row r="155" spans="1:36" ht="12">
      <c r="A155" s="115" t="s">
        <v>1539</v>
      </c>
      <c r="B155" s="305">
        <f>hiv!D190</f>
        <v>2333</v>
      </c>
      <c r="C155" s="117"/>
      <c r="D155" s="305"/>
      <c r="E155" s="120">
        <f>SUM(B155:D155)</f>
        <v>2333</v>
      </c>
      <c r="F155" s="305"/>
      <c r="G155" s="305"/>
      <c r="H155" s="120">
        <f>SUM(F155:G155)</f>
        <v>0</v>
      </c>
      <c r="I155" s="117"/>
      <c r="J155" s="305"/>
      <c r="K155" s="305"/>
      <c r="L155" s="305"/>
      <c r="M155" s="305"/>
      <c r="N155" s="305"/>
      <c r="O155" s="120">
        <f>SUM(I155:N155)</f>
        <v>0</v>
      </c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120">
        <f>SUM(P155:Y155)</f>
        <v>0</v>
      </c>
      <c r="AA155" s="305"/>
      <c r="AB155" s="305">
        <f>AA155*iét!$D$226</f>
        <v>0</v>
      </c>
      <c r="AC155" s="305">
        <f>AA155*iét!$D$227</f>
        <v>0</v>
      </c>
      <c r="AD155" s="305">
        <f>AA155*iét!$D$228</f>
        <v>0</v>
      </c>
      <c r="AE155" s="305">
        <f>AA155*iét!$D$229</f>
        <v>0</v>
      </c>
      <c r="AF155" s="120">
        <f t="shared" si="66"/>
        <v>0</v>
      </c>
      <c r="AG155" s="117"/>
      <c r="AH155" s="305"/>
      <c r="AI155" s="120">
        <f>SUM(AG155:AH155)</f>
        <v>0</v>
      </c>
      <c r="AJ155" s="346">
        <f>E155+H155+O155+Z155+AF155+AI155</f>
        <v>2333</v>
      </c>
    </row>
    <row r="156" spans="1:36" ht="12">
      <c r="A156" s="121" t="s">
        <v>1540</v>
      </c>
      <c r="B156" s="122">
        <f aca="true" t="shared" si="74" ref="B156:AJ156">SUM(B154:B155)</f>
        <v>6333</v>
      </c>
      <c r="C156" s="122"/>
      <c r="D156" s="307">
        <f t="shared" si="74"/>
        <v>0</v>
      </c>
      <c r="E156" s="122">
        <f t="shared" si="74"/>
        <v>6333</v>
      </c>
      <c r="F156" s="307">
        <f t="shared" si="74"/>
        <v>0</v>
      </c>
      <c r="G156" s="307">
        <f t="shared" si="74"/>
        <v>0</v>
      </c>
      <c r="H156" s="122">
        <f t="shared" si="74"/>
        <v>0</v>
      </c>
      <c r="I156" s="122">
        <f t="shared" si="74"/>
        <v>0</v>
      </c>
      <c r="J156" s="307">
        <f t="shared" si="74"/>
        <v>0</v>
      </c>
      <c r="K156" s="307">
        <f t="shared" si="74"/>
        <v>0</v>
      </c>
      <c r="L156" s="307">
        <f t="shared" si="74"/>
        <v>0</v>
      </c>
      <c r="M156" s="307">
        <f t="shared" si="74"/>
        <v>0</v>
      </c>
      <c r="N156" s="307">
        <f t="shared" si="74"/>
        <v>0</v>
      </c>
      <c r="O156" s="122">
        <f t="shared" si="74"/>
        <v>0</v>
      </c>
      <c r="P156" s="307">
        <f t="shared" si="74"/>
        <v>0</v>
      </c>
      <c r="Q156" s="307">
        <f t="shared" si="74"/>
        <v>0</v>
      </c>
      <c r="R156" s="307">
        <f t="shared" si="74"/>
        <v>0</v>
      </c>
      <c r="S156" s="307">
        <f t="shared" si="74"/>
        <v>0</v>
      </c>
      <c r="T156" s="307">
        <f t="shared" si="74"/>
        <v>0</v>
      </c>
      <c r="U156" s="307">
        <f>SUM(U154:U155)</f>
        <v>0</v>
      </c>
      <c r="V156" s="307">
        <f>SUM(V154:V155)</f>
        <v>0</v>
      </c>
      <c r="W156" s="307"/>
      <c r="X156" s="307"/>
      <c r="Y156" s="307">
        <f>SUM(Y154:Y155)</f>
        <v>0</v>
      </c>
      <c r="Z156" s="122">
        <f t="shared" si="74"/>
        <v>0</v>
      </c>
      <c r="AA156" s="307">
        <f t="shared" si="74"/>
        <v>0</v>
      </c>
      <c r="AB156" s="307">
        <f t="shared" si="74"/>
        <v>0</v>
      </c>
      <c r="AC156" s="307">
        <f t="shared" si="74"/>
        <v>0</v>
      </c>
      <c r="AD156" s="307">
        <f t="shared" si="74"/>
        <v>0</v>
      </c>
      <c r="AE156" s="307">
        <f>SUM(AE154:AE155)</f>
        <v>0</v>
      </c>
      <c r="AF156" s="122">
        <f>SUM(AF154:AF155)</f>
        <v>0</v>
      </c>
      <c r="AG156" s="122">
        <f>SUM(AG154:AG155)</f>
        <v>0</v>
      </c>
      <c r="AH156" s="307">
        <f t="shared" si="74"/>
        <v>0</v>
      </c>
      <c r="AI156" s="122">
        <f t="shared" si="74"/>
        <v>0</v>
      </c>
      <c r="AJ156" s="307">
        <f t="shared" si="74"/>
        <v>6333</v>
      </c>
    </row>
    <row r="157" spans="1:36" ht="12">
      <c r="A157" s="115" t="s">
        <v>1541</v>
      </c>
      <c r="B157" s="305">
        <v>600</v>
      </c>
      <c r="C157" s="117"/>
      <c r="D157" s="305"/>
      <c r="E157" s="120">
        <f>SUM(B157:D157)</f>
        <v>600</v>
      </c>
      <c r="F157" s="305"/>
      <c r="G157" s="305"/>
      <c r="H157" s="120">
        <f>SUM(F157:G157)</f>
        <v>0</v>
      </c>
      <c r="I157" s="117"/>
      <c r="J157" s="305"/>
      <c r="K157" s="305"/>
      <c r="L157" s="305"/>
      <c r="M157" s="305"/>
      <c r="N157" s="305"/>
      <c r="O157" s="120">
        <f>SUM(I157:N157)</f>
        <v>0</v>
      </c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120">
        <f>SUM(P157:Y157)</f>
        <v>0</v>
      </c>
      <c r="AA157" s="305"/>
      <c r="AB157" s="305">
        <f>AA157*iét!$D$226</f>
        <v>0</v>
      </c>
      <c r="AC157" s="305">
        <f>AA157*iét!$D$227</f>
        <v>0</v>
      </c>
      <c r="AD157" s="305">
        <f>AA157*iét!$D$228</f>
        <v>0</v>
      </c>
      <c r="AE157" s="305">
        <f>AA157*iét!$D$229</f>
        <v>0</v>
      </c>
      <c r="AF157" s="120">
        <f t="shared" si="66"/>
        <v>0</v>
      </c>
      <c r="AG157" s="117"/>
      <c r="AH157" s="305"/>
      <c r="AI157" s="120">
        <f>SUM(AG157:AH157)</f>
        <v>0</v>
      </c>
      <c r="AJ157" s="346">
        <f>E157+H157+O157+Z157+AF157+AI157</f>
        <v>600</v>
      </c>
    </row>
    <row r="158" spans="1:36" ht="12">
      <c r="A158" s="115" t="s">
        <v>167</v>
      </c>
      <c r="B158" s="305">
        <v>200</v>
      </c>
      <c r="C158" s="117"/>
      <c r="D158" s="305"/>
      <c r="E158" s="120">
        <f>SUM(B158:D158)</f>
        <v>200</v>
      </c>
      <c r="F158" s="305"/>
      <c r="G158" s="305"/>
      <c r="H158" s="120">
        <f>SUM(F158:G158)</f>
        <v>0</v>
      </c>
      <c r="I158" s="117"/>
      <c r="J158" s="305"/>
      <c r="K158" s="305"/>
      <c r="L158" s="305"/>
      <c r="M158" s="305"/>
      <c r="N158" s="305"/>
      <c r="O158" s="120">
        <f>SUM(I158:N158)</f>
        <v>0</v>
      </c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120">
        <f>SUM(P158:Y158)</f>
        <v>0</v>
      </c>
      <c r="AA158" s="305"/>
      <c r="AB158" s="305">
        <f>AA158*iét!$D$226</f>
        <v>0</v>
      </c>
      <c r="AC158" s="305">
        <f>AA158*iét!$D$227</f>
        <v>0</v>
      </c>
      <c r="AD158" s="305">
        <f>AA158*iét!$D$228</f>
        <v>0</v>
      </c>
      <c r="AE158" s="305">
        <f>AA158*iét!$D$229</f>
        <v>0</v>
      </c>
      <c r="AF158" s="120">
        <f t="shared" si="66"/>
        <v>0</v>
      </c>
      <c r="AG158" s="117"/>
      <c r="AH158" s="305"/>
      <c r="AI158" s="120">
        <f>SUM(AG158:AH158)</f>
        <v>0</v>
      </c>
      <c r="AJ158" s="346">
        <f>E158+H158+O158+Z158+AF158+AI158</f>
        <v>200</v>
      </c>
    </row>
    <row r="159" spans="1:36" ht="12">
      <c r="A159" s="121" t="s">
        <v>642</v>
      </c>
      <c r="B159" s="307">
        <f>SUM(B157:B158)</f>
        <v>800</v>
      </c>
      <c r="C159" s="122"/>
      <c r="D159" s="307">
        <f aca="true" t="shared" si="75" ref="D159:AJ159">SUM(D157:D158)</f>
        <v>0</v>
      </c>
      <c r="E159" s="122">
        <f t="shared" si="75"/>
        <v>800</v>
      </c>
      <c r="F159" s="307">
        <f>SUM(F157:F158)</f>
        <v>0</v>
      </c>
      <c r="G159" s="307">
        <f t="shared" si="75"/>
        <v>0</v>
      </c>
      <c r="H159" s="122">
        <f t="shared" si="75"/>
        <v>0</v>
      </c>
      <c r="I159" s="122">
        <f t="shared" si="75"/>
        <v>0</v>
      </c>
      <c r="J159" s="307">
        <f t="shared" si="75"/>
        <v>0</v>
      </c>
      <c r="K159" s="307">
        <f t="shared" si="75"/>
        <v>0</v>
      </c>
      <c r="L159" s="307">
        <f t="shared" si="75"/>
        <v>0</v>
      </c>
      <c r="M159" s="307">
        <f t="shared" si="75"/>
        <v>0</v>
      </c>
      <c r="N159" s="307">
        <f t="shared" si="75"/>
        <v>0</v>
      </c>
      <c r="O159" s="122">
        <f t="shared" si="75"/>
        <v>0</v>
      </c>
      <c r="P159" s="307">
        <f t="shared" si="75"/>
        <v>0</v>
      </c>
      <c r="Q159" s="307">
        <f t="shared" si="75"/>
        <v>0</v>
      </c>
      <c r="R159" s="307">
        <f t="shared" si="75"/>
        <v>0</v>
      </c>
      <c r="S159" s="307">
        <f t="shared" si="75"/>
        <v>0</v>
      </c>
      <c r="T159" s="307">
        <f t="shared" si="75"/>
        <v>0</v>
      </c>
      <c r="U159" s="307">
        <f>SUM(U157:U158)</f>
        <v>0</v>
      </c>
      <c r="V159" s="307">
        <f>SUM(V157:V158)</f>
        <v>0</v>
      </c>
      <c r="W159" s="307"/>
      <c r="X159" s="307"/>
      <c r="Y159" s="307">
        <f>SUM(Y157:Y158)</f>
        <v>0</v>
      </c>
      <c r="Z159" s="122">
        <f t="shared" si="75"/>
        <v>0</v>
      </c>
      <c r="AA159" s="307">
        <f t="shared" si="75"/>
        <v>0</v>
      </c>
      <c r="AB159" s="307">
        <f t="shared" si="75"/>
        <v>0</v>
      </c>
      <c r="AC159" s="307">
        <f t="shared" si="75"/>
        <v>0</v>
      </c>
      <c r="AD159" s="307">
        <f t="shared" si="75"/>
        <v>0</v>
      </c>
      <c r="AE159" s="307">
        <f>SUM(AE157:AE158)</f>
        <v>0</v>
      </c>
      <c r="AF159" s="122">
        <f>SUM(AF157:AF158)</f>
        <v>0</v>
      </c>
      <c r="AG159" s="122">
        <f t="shared" si="75"/>
        <v>0</v>
      </c>
      <c r="AH159" s="307">
        <f t="shared" si="75"/>
        <v>0</v>
      </c>
      <c r="AI159" s="122">
        <f t="shared" si="75"/>
        <v>0</v>
      </c>
      <c r="AJ159" s="307">
        <f t="shared" si="75"/>
        <v>800</v>
      </c>
    </row>
    <row r="160" spans="1:36" ht="12">
      <c r="A160" s="125" t="s">
        <v>643</v>
      </c>
      <c r="B160" s="126">
        <f>B47+B54+B107+B108+B109+B110+B113+B129+B154+B157</f>
        <v>55139</v>
      </c>
      <c r="C160" s="126"/>
      <c r="D160" s="306">
        <f aca="true" t="shared" si="76" ref="D160:AJ160">D47+D54+D107+D108+D109+D110+D113+D129+D154+D157</f>
        <v>2804</v>
      </c>
      <c r="E160" s="126">
        <f t="shared" si="76"/>
        <v>57943</v>
      </c>
      <c r="F160" s="306">
        <f>F47+F54+F107+F108+F109+F110+F113+F129+F154+F157</f>
        <v>6307</v>
      </c>
      <c r="G160" s="306">
        <f t="shared" si="76"/>
        <v>1136</v>
      </c>
      <c r="H160" s="126">
        <f t="shared" si="76"/>
        <v>7443</v>
      </c>
      <c r="I160" s="126">
        <f t="shared" si="76"/>
        <v>0</v>
      </c>
      <c r="J160" s="306">
        <f t="shared" si="76"/>
        <v>1676</v>
      </c>
      <c r="K160" s="306">
        <f t="shared" si="76"/>
        <v>90</v>
      </c>
      <c r="L160" s="306">
        <f t="shared" si="76"/>
        <v>1990</v>
      </c>
      <c r="M160" s="306">
        <f t="shared" si="76"/>
        <v>2000</v>
      </c>
      <c r="N160" s="306">
        <f t="shared" si="76"/>
        <v>151</v>
      </c>
      <c r="O160" s="126">
        <f t="shared" si="76"/>
        <v>5907</v>
      </c>
      <c r="P160" s="306">
        <f t="shared" si="76"/>
        <v>3936</v>
      </c>
      <c r="Q160" s="306">
        <f t="shared" si="76"/>
        <v>2577</v>
      </c>
      <c r="R160" s="306">
        <f t="shared" si="76"/>
        <v>2554</v>
      </c>
      <c r="S160" s="306">
        <f t="shared" si="76"/>
        <v>1531</v>
      </c>
      <c r="T160" s="306">
        <f t="shared" si="76"/>
        <v>6536</v>
      </c>
      <c r="U160" s="306">
        <f>U47+U54+U107+U108+U109+U110+U113+U129+U154+U157</f>
        <v>12593</v>
      </c>
      <c r="V160" s="306">
        <f>V47+V54+V107+V108+V109+V110+V113+V129+V154+V157</f>
        <v>293</v>
      </c>
      <c r="W160" s="306">
        <f>W47+W54+W107+W108+W109+W110+W113+W129+W154+W157</f>
        <v>660</v>
      </c>
      <c r="X160" s="306">
        <f>X47+X54+X107+X108+X109+X110+X113+X129+X154+X157</f>
        <v>1345</v>
      </c>
      <c r="Y160" s="306">
        <f>Y47+Y54+Y107+Y108+Y109+Y110+Y113+Y129+Y154+Y157</f>
        <v>295</v>
      </c>
      <c r="Z160" s="126">
        <f t="shared" si="76"/>
        <v>32320</v>
      </c>
      <c r="AA160" s="306">
        <f t="shared" si="76"/>
        <v>17253</v>
      </c>
      <c r="AB160" s="306">
        <f t="shared" si="76"/>
        <v>2744.142758639694</v>
      </c>
      <c r="AC160" s="306">
        <f t="shared" si="76"/>
        <v>8405.135348015632</v>
      </c>
      <c r="AD160" s="306">
        <f t="shared" si="76"/>
        <v>2357.4763916409074</v>
      </c>
      <c r="AE160" s="306">
        <f>AE47+AE54+AE107+AE108+AE109+AE110+AE113+AE129+AE154+AE157</f>
        <v>3746.2455017037637</v>
      </c>
      <c r="AF160" s="126">
        <f>AF47+AF54+AF107+AF108+AF109+AF110+AF113+AF129+AF154+AF157</f>
        <v>17253</v>
      </c>
      <c r="AG160" s="126">
        <f t="shared" si="76"/>
        <v>0</v>
      </c>
      <c r="AH160" s="306">
        <f t="shared" si="76"/>
        <v>3508</v>
      </c>
      <c r="AI160" s="126">
        <f t="shared" si="76"/>
        <v>3508</v>
      </c>
      <c r="AJ160" s="306">
        <f t="shared" si="76"/>
        <v>124374</v>
      </c>
    </row>
    <row r="161" spans="1:36" ht="12">
      <c r="A161" s="125" t="s">
        <v>1481</v>
      </c>
      <c r="B161" s="306">
        <f>B111+B112+B134+B138+B143+B148+B152+B155+B158</f>
        <v>3676</v>
      </c>
      <c r="C161" s="126"/>
      <c r="D161" s="306">
        <f aca="true" t="shared" si="77" ref="D161:AI161">D111+D112+D134+D138+D143+D148+D152+D155+D158</f>
        <v>0</v>
      </c>
      <c r="E161" s="126">
        <f t="shared" si="77"/>
        <v>3676</v>
      </c>
      <c r="F161" s="306">
        <f>F111+F112+F134+F138+F143+F148+F152+F155+F158</f>
        <v>0</v>
      </c>
      <c r="G161" s="306">
        <f t="shared" si="77"/>
        <v>0</v>
      </c>
      <c r="H161" s="126">
        <f t="shared" si="77"/>
        <v>0</v>
      </c>
      <c r="I161" s="126">
        <f t="shared" si="77"/>
        <v>0</v>
      </c>
      <c r="J161" s="306">
        <f t="shared" si="77"/>
        <v>0</v>
      </c>
      <c r="K161" s="306">
        <f t="shared" si="77"/>
        <v>0</v>
      </c>
      <c r="L161" s="306">
        <f t="shared" si="77"/>
        <v>0</v>
      </c>
      <c r="M161" s="306">
        <f t="shared" si="77"/>
        <v>0</v>
      </c>
      <c r="N161" s="306">
        <f t="shared" si="77"/>
        <v>0</v>
      </c>
      <c r="O161" s="126">
        <f t="shared" si="77"/>
        <v>0</v>
      </c>
      <c r="P161" s="306">
        <f t="shared" si="77"/>
        <v>0</v>
      </c>
      <c r="Q161" s="306">
        <f t="shared" si="77"/>
        <v>0</v>
      </c>
      <c r="R161" s="306">
        <f t="shared" si="77"/>
        <v>0</v>
      </c>
      <c r="S161" s="306">
        <f t="shared" si="77"/>
        <v>12</v>
      </c>
      <c r="T161" s="306">
        <f t="shared" si="77"/>
        <v>0</v>
      </c>
      <c r="U161" s="306">
        <f>U111+U112+U134+U138+U143+U148+U152+U155+U158</f>
        <v>0</v>
      </c>
      <c r="V161" s="306">
        <f>V111+V112+V134+V138+V143+V148+V152+V155+V158</f>
        <v>0</v>
      </c>
      <c r="W161" s="306"/>
      <c r="X161" s="306"/>
      <c r="Y161" s="306">
        <f>Y111+Y112+Y134+Y138+Y143+Y148+Y152+Y155+Y158</f>
        <v>0</v>
      </c>
      <c r="Z161" s="126">
        <f t="shared" si="77"/>
        <v>12</v>
      </c>
      <c r="AA161" s="306">
        <f t="shared" si="77"/>
        <v>0</v>
      </c>
      <c r="AB161" s="306">
        <f t="shared" si="77"/>
        <v>0</v>
      </c>
      <c r="AC161" s="306">
        <f t="shared" si="77"/>
        <v>0</v>
      </c>
      <c r="AD161" s="306">
        <f t="shared" si="77"/>
        <v>0</v>
      </c>
      <c r="AE161" s="306">
        <f>AE111+AE112+AE134+AE138+AE143+AE148+AE152+AE155+AE158</f>
        <v>0</v>
      </c>
      <c r="AF161" s="126">
        <f>AF111+AF112+AF134+AF138+AF143+AF148+AF152+AF155+AF158</f>
        <v>0</v>
      </c>
      <c r="AG161" s="126">
        <f t="shared" si="77"/>
        <v>0</v>
      </c>
      <c r="AH161" s="306">
        <f t="shared" si="77"/>
        <v>0</v>
      </c>
      <c r="AI161" s="126">
        <f t="shared" si="77"/>
        <v>0</v>
      </c>
      <c r="AJ161" s="306">
        <f>AJ111+AJ112+AJ134+AJ138+AJ143+AJ148+AJ152+AJ155+AJ158</f>
        <v>3688</v>
      </c>
    </row>
    <row r="162" spans="1:37" s="27" customFormat="1" ht="11.25">
      <c r="A162" s="138"/>
      <c r="B162" s="139">
        <f aca="true" t="shared" si="78" ref="B162:AJ162">SUM(B160:B161)</f>
        <v>58815</v>
      </c>
      <c r="C162" s="139"/>
      <c r="D162" s="310">
        <f t="shared" si="78"/>
        <v>2804</v>
      </c>
      <c r="E162" s="139">
        <f t="shared" si="78"/>
        <v>61619</v>
      </c>
      <c r="F162" s="310">
        <f>SUM(F160:F161)</f>
        <v>6307</v>
      </c>
      <c r="G162" s="310">
        <f t="shared" si="78"/>
        <v>1136</v>
      </c>
      <c r="H162" s="139">
        <f t="shared" si="78"/>
        <v>7443</v>
      </c>
      <c r="I162" s="139">
        <f t="shared" si="78"/>
        <v>0</v>
      </c>
      <c r="J162" s="310">
        <f t="shared" si="78"/>
        <v>1676</v>
      </c>
      <c r="K162" s="310">
        <f t="shared" si="78"/>
        <v>90</v>
      </c>
      <c r="L162" s="310">
        <f t="shared" si="78"/>
        <v>1990</v>
      </c>
      <c r="M162" s="310">
        <f t="shared" si="78"/>
        <v>2000</v>
      </c>
      <c r="N162" s="310">
        <f t="shared" si="78"/>
        <v>151</v>
      </c>
      <c r="O162" s="139">
        <f t="shared" si="78"/>
        <v>5907</v>
      </c>
      <c r="P162" s="310">
        <f t="shared" si="78"/>
        <v>3936</v>
      </c>
      <c r="Q162" s="310">
        <f t="shared" si="78"/>
        <v>2577</v>
      </c>
      <c r="R162" s="310">
        <f t="shared" si="78"/>
        <v>2554</v>
      </c>
      <c r="S162" s="310">
        <f t="shared" si="78"/>
        <v>1543</v>
      </c>
      <c r="T162" s="310">
        <f t="shared" si="78"/>
        <v>6536</v>
      </c>
      <c r="U162" s="310">
        <f>SUM(U160:U161)</f>
        <v>12593</v>
      </c>
      <c r="V162" s="310">
        <f>SUM(V160:V161)</f>
        <v>293</v>
      </c>
      <c r="W162" s="310"/>
      <c r="X162" s="310"/>
      <c r="Y162" s="310">
        <f>SUM(Y160:Y161)</f>
        <v>295</v>
      </c>
      <c r="Z162" s="139">
        <f t="shared" si="78"/>
        <v>32332</v>
      </c>
      <c r="AA162" s="310">
        <f t="shared" si="78"/>
        <v>17253</v>
      </c>
      <c r="AB162" s="310">
        <f t="shared" si="78"/>
        <v>2744.142758639694</v>
      </c>
      <c r="AC162" s="310">
        <f t="shared" si="78"/>
        <v>8405.135348015632</v>
      </c>
      <c r="AD162" s="310">
        <f t="shared" si="78"/>
        <v>2357.4763916409074</v>
      </c>
      <c r="AE162" s="310">
        <f>SUM(AE160:AE161)</f>
        <v>3746.2455017037637</v>
      </c>
      <c r="AF162" s="139">
        <f>SUM(AF160:AF161)</f>
        <v>17253</v>
      </c>
      <c r="AG162" s="139">
        <f t="shared" si="78"/>
        <v>0</v>
      </c>
      <c r="AH162" s="310">
        <f t="shared" si="78"/>
        <v>3508</v>
      </c>
      <c r="AI162" s="139">
        <f t="shared" si="78"/>
        <v>3508</v>
      </c>
      <c r="AJ162" s="310">
        <f t="shared" si="78"/>
        <v>128062</v>
      </c>
      <c r="AK162" s="13"/>
    </row>
    <row r="163" spans="1:36" ht="12">
      <c r="A163" s="140" t="s">
        <v>644</v>
      </c>
      <c r="B163" s="141">
        <f>B47+B54+B107+B108+B130+B153+B156+B159</f>
        <v>58815</v>
      </c>
      <c r="C163" s="141"/>
      <c r="D163" s="311">
        <f aca="true" t="shared" si="79" ref="D163:AI163">D47+D54+D107+D108+D130+D153+D156+D159</f>
        <v>2804</v>
      </c>
      <c r="E163" s="141">
        <f>E47+E54+E107+E108+E130+E153+E156+E159</f>
        <v>61619</v>
      </c>
      <c r="F163" s="311">
        <f>F47+F54+F107+F108+F130+F153+F156+F159</f>
        <v>6307</v>
      </c>
      <c r="G163" s="311">
        <f t="shared" si="79"/>
        <v>1136</v>
      </c>
      <c r="H163" s="141">
        <f t="shared" si="79"/>
        <v>7443</v>
      </c>
      <c r="I163" s="141">
        <f t="shared" si="79"/>
        <v>0</v>
      </c>
      <c r="J163" s="321">
        <f t="shared" si="79"/>
        <v>1676</v>
      </c>
      <c r="K163" s="311">
        <f t="shared" si="79"/>
        <v>90</v>
      </c>
      <c r="L163" s="311">
        <f t="shared" si="79"/>
        <v>1990</v>
      </c>
      <c r="M163" s="311">
        <f t="shared" si="79"/>
        <v>2000</v>
      </c>
      <c r="N163" s="311">
        <f t="shared" si="79"/>
        <v>151</v>
      </c>
      <c r="O163" s="141">
        <f t="shared" si="79"/>
        <v>5907</v>
      </c>
      <c r="P163" s="311">
        <f t="shared" si="79"/>
        <v>3936</v>
      </c>
      <c r="Q163" s="311">
        <f t="shared" si="79"/>
        <v>2577</v>
      </c>
      <c r="R163" s="311">
        <f t="shared" si="79"/>
        <v>2554</v>
      </c>
      <c r="S163" s="311">
        <f t="shared" si="79"/>
        <v>1543</v>
      </c>
      <c r="T163" s="311">
        <f t="shared" si="79"/>
        <v>6536</v>
      </c>
      <c r="U163" s="311">
        <f>U47+U54+U107+U108+U130+U153+U156+U159</f>
        <v>12593</v>
      </c>
      <c r="V163" s="321">
        <f>V47+V54+V107+V108+V130+V153+V156+V159</f>
        <v>293</v>
      </c>
      <c r="W163" s="311">
        <f>W47+W54+W107+W108+W130+W153+W156+W159</f>
        <v>660</v>
      </c>
      <c r="X163" s="311">
        <f>X47+X54+X107+X108+X130+X153+X156+X159</f>
        <v>1345</v>
      </c>
      <c r="Y163" s="311">
        <f>Y47+Y54+Y107+Y108+Y130+Y153+Y156+Y159</f>
        <v>295</v>
      </c>
      <c r="Z163" s="141">
        <f t="shared" si="79"/>
        <v>32332</v>
      </c>
      <c r="AA163" s="311">
        <f t="shared" si="79"/>
        <v>17253</v>
      </c>
      <c r="AB163" s="311">
        <f t="shared" si="79"/>
        <v>2744.142758639694</v>
      </c>
      <c r="AC163" s="311">
        <f t="shared" si="79"/>
        <v>8405.135348015632</v>
      </c>
      <c r="AD163" s="311">
        <f t="shared" si="79"/>
        <v>2357.4763916409074</v>
      </c>
      <c r="AE163" s="311">
        <f>AE47+AE54+AE107+AE108+AE130+AE153+AE156+AE159</f>
        <v>3746.2455017037637</v>
      </c>
      <c r="AF163" s="141">
        <f>AF47+AF54+AF107+AF108+AF130+AF153+AF156+AF159</f>
        <v>17253</v>
      </c>
      <c r="AG163" s="141">
        <f t="shared" si="79"/>
        <v>0</v>
      </c>
      <c r="AH163" s="311">
        <f t="shared" si="79"/>
        <v>3508</v>
      </c>
      <c r="AI163" s="141">
        <f t="shared" si="79"/>
        <v>3508</v>
      </c>
      <c r="AJ163" s="311">
        <f>AJ47+AJ54+AJ107+AJ108+AJ130+AJ153+AJ156+AJ159</f>
        <v>128062</v>
      </c>
    </row>
    <row r="164" spans="2:31" ht="12">
      <c r="B164" s="55"/>
      <c r="AB164" s="304"/>
      <c r="AC164" s="304"/>
      <c r="AD164" s="304"/>
      <c r="AE164" s="304"/>
    </row>
    <row r="165" spans="2:31" ht="12">
      <c r="B165" s="55"/>
      <c r="AB165" s="304"/>
      <c r="AC165" s="304"/>
      <c r="AD165" s="304"/>
      <c r="AE165" s="304"/>
    </row>
    <row r="166" spans="2:31" ht="12">
      <c r="B166" s="55"/>
      <c r="AB166" s="304"/>
      <c r="AC166" s="304"/>
      <c r="AD166" s="304"/>
      <c r="AE166" s="304"/>
    </row>
    <row r="167" spans="2:31" ht="12">
      <c r="B167" s="55"/>
      <c r="AB167" s="304"/>
      <c r="AC167" s="304"/>
      <c r="AD167" s="304"/>
      <c r="AE167" s="304"/>
    </row>
    <row r="168" spans="2:31" ht="12">
      <c r="B168" s="55"/>
      <c r="AB168" s="304"/>
      <c r="AC168" s="304"/>
      <c r="AD168" s="304"/>
      <c r="AE168" s="304"/>
    </row>
    <row r="169" spans="2:31" ht="12">
      <c r="B169" s="55"/>
      <c r="AB169" s="304"/>
      <c r="AC169" s="304"/>
      <c r="AD169" s="304"/>
      <c r="AE169" s="304"/>
    </row>
    <row r="170" spans="2:31" ht="12">
      <c r="B170" s="55"/>
      <c r="AB170" s="304"/>
      <c r="AC170" s="304"/>
      <c r="AD170" s="304"/>
      <c r="AE170" s="304"/>
    </row>
    <row r="171" spans="2:31" ht="12">
      <c r="B171" s="55"/>
      <c r="AB171" s="304"/>
      <c r="AC171" s="304"/>
      <c r="AD171" s="304"/>
      <c r="AE171" s="304"/>
    </row>
    <row r="172" spans="2:31" ht="12">
      <c r="B172" s="55"/>
      <c r="AB172" s="304"/>
      <c r="AC172" s="304"/>
      <c r="AD172" s="304"/>
      <c r="AE172" s="304"/>
    </row>
    <row r="173" spans="2:31" ht="12">
      <c r="B173" s="55"/>
      <c r="AB173" s="304"/>
      <c r="AC173" s="304"/>
      <c r="AD173" s="304"/>
      <c r="AE173" s="304"/>
    </row>
    <row r="174" spans="2:31" ht="12">
      <c r="B174" s="55"/>
      <c r="AB174" s="304"/>
      <c r="AC174" s="304"/>
      <c r="AD174" s="304"/>
      <c r="AE174" s="304"/>
    </row>
    <row r="175" spans="2:31" ht="12">
      <c r="B175" s="55"/>
      <c r="AB175" s="304"/>
      <c r="AC175" s="304"/>
      <c r="AD175" s="304"/>
      <c r="AE175" s="304"/>
    </row>
    <row r="176" spans="2:31" ht="12">
      <c r="B176" s="55"/>
      <c r="AB176" s="304"/>
      <c r="AC176" s="304"/>
      <c r="AD176" s="304"/>
      <c r="AE176" s="304"/>
    </row>
    <row r="177" spans="2:31" ht="12">
      <c r="B177" s="55"/>
      <c r="AB177" s="304"/>
      <c r="AC177" s="304"/>
      <c r="AD177" s="304"/>
      <c r="AE177" s="304"/>
    </row>
    <row r="178" spans="2:31" ht="12">
      <c r="B178" s="55"/>
      <c r="AB178" s="304"/>
      <c r="AC178" s="304"/>
      <c r="AD178" s="304"/>
      <c r="AE178" s="304"/>
    </row>
    <row r="179" spans="2:31" ht="12">
      <c r="B179" s="55"/>
      <c r="AB179" s="304"/>
      <c r="AC179" s="304"/>
      <c r="AD179" s="304"/>
      <c r="AE179" s="304"/>
    </row>
    <row r="180" spans="2:31" ht="12">
      <c r="B180" s="55"/>
      <c r="AB180" s="304"/>
      <c r="AC180" s="304"/>
      <c r="AD180" s="304"/>
      <c r="AE180" s="304"/>
    </row>
    <row r="181" spans="2:31" ht="12">
      <c r="B181" s="55"/>
      <c r="AB181" s="304"/>
      <c r="AC181" s="304"/>
      <c r="AD181" s="304"/>
      <c r="AE181" s="304"/>
    </row>
    <row r="182" spans="2:31" ht="12">
      <c r="B182" s="55"/>
      <c r="AB182" s="304"/>
      <c r="AC182" s="304"/>
      <c r="AD182" s="304"/>
      <c r="AE182" s="304"/>
    </row>
    <row r="183" spans="2:31" ht="12">
      <c r="B183" s="55"/>
      <c r="AB183" s="304"/>
      <c r="AC183" s="304"/>
      <c r="AD183" s="304"/>
      <c r="AE183" s="304"/>
    </row>
    <row r="184" spans="2:31" ht="12">
      <c r="B184" s="55"/>
      <c r="AB184" s="304"/>
      <c r="AC184" s="304"/>
      <c r="AD184" s="304"/>
      <c r="AE184" s="304"/>
    </row>
    <row r="185" spans="2:31" ht="12">
      <c r="B185" s="55"/>
      <c r="AB185" s="304"/>
      <c r="AC185" s="304"/>
      <c r="AD185" s="304"/>
      <c r="AE185" s="304"/>
    </row>
    <row r="186" spans="2:31" ht="12">
      <c r="B186" s="55"/>
      <c r="AB186" s="304"/>
      <c r="AC186" s="304"/>
      <c r="AD186" s="304"/>
      <c r="AE186" s="304"/>
    </row>
    <row r="187" spans="2:31" ht="12">
      <c r="B187" s="55"/>
      <c r="AB187" s="304"/>
      <c r="AC187" s="304"/>
      <c r="AD187" s="304"/>
      <c r="AE187" s="304"/>
    </row>
    <row r="188" spans="2:31" ht="12">
      <c r="B188" s="55"/>
      <c r="AB188" s="304"/>
      <c r="AC188" s="304"/>
      <c r="AD188" s="304"/>
      <c r="AE188" s="304"/>
    </row>
    <row r="189" spans="2:31" ht="12">
      <c r="B189" s="55"/>
      <c r="AB189" s="304"/>
      <c r="AC189" s="304"/>
      <c r="AD189" s="304"/>
      <c r="AE189" s="304"/>
    </row>
    <row r="190" spans="2:31" ht="12">
      <c r="B190" s="55"/>
      <c r="AB190" s="304"/>
      <c r="AC190" s="304"/>
      <c r="AD190" s="304"/>
      <c r="AE190" s="304"/>
    </row>
    <row r="191" spans="2:31" ht="12">
      <c r="B191" s="55"/>
      <c r="AB191" s="304"/>
      <c r="AC191" s="304"/>
      <c r="AD191" s="304"/>
      <c r="AE191" s="304"/>
    </row>
    <row r="192" spans="2:31" ht="12">
      <c r="B192" s="55"/>
      <c r="AB192" s="304"/>
      <c r="AC192" s="304"/>
      <c r="AD192" s="304"/>
      <c r="AE192" s="304"/>
    </row>
    <row r="193" spans="2:31" ht="12">
      <c r="B193" s="55"/>
      <c r="AB193" s="304"/>
      <c r="AC193" s="304"/>
      <c r="AD193" s="304"/>
      <c r="AE193" s="304"/>
    </row>
    <row r="194" spans="2:31" ht="12">
      <c r="B194" s="55"/>
      <c r="AB194" s="304"/>
      <c r="AC194" s="304"/>
      <c r="AD194" s="304"/>
      <c r="AE194" s="304"/>
    </row>
    <row r="195" spans="2:31" ht="12">
      <c r="B195" s="55"/>
      <c r="AB195" s="304"/>
      <c r="AC195" s="304"/>
      <c r="AD195" s="304"/>
      <c r="AE195" s="304"/>
    </row>
    <row r="196" spans="2:31" ht="12">
      <c r="B196" s="55"/>
      <c r="AB196" s="304"/>
      <c r="AC196" s="304"/>
      <c r="AD196" s="304"/>
      <c r="AE196" s="304"/>
    </row>
    <row r="197" spans="2:31" ht="12">
      <c r="B197" s="55"/>
      <c r="AB197" s="304"/>
      <c r="AC197" s="304"/>
      <c r="AD197" s="304"/>
      <c r="AE197" s="304"/>
    </row>
    <row r="198" spans="2:31" ht="12">
      <c r="B198" s="55"/>
      <c r="AB198" s="304"/>
      <c r="AC198" s="304"/>
      <c r="AD198" s="304"/>
      <c r="AE198" s="304"/>
    </row>
    <row r="199" spans="2:31" ht="12">
      <c r="B199" s="55"/>
      <c r="AB199" s="304"/>
      <c r="AC199" s="304"/>
      <c r="AD199" s="304"/>
      <c r="AE199" s="304"/>
    </row>
    <row r="200" spans="2:31" ht="12">
      <c r="B200" s="55"/>
      <c r="AB200" s="304"/>
      <c r="AC200" s="304"/>
      <c r="AD200" s="304"/>
      <c r="AE200" s="304"/>
    </row>
    <row r="201" spans="2:31" ht="12">
      <c r="B201" s="55"/>
      <c r="AB201" s="304"/>
      <c r="AC201" s="304"/>
      <c r="AD201" s="304"/>
      <c r="AE201" s="304"/>
    </row>
    <row r="202" spans="2:31" ht="12">
      <c r="B202" s="55"/>
      <c r="AB202" s="304"/>
      <c r="AC202" s="304"/>
      <c r="AD202" s="304"/>
      <c r="AE202" s="304"/>
    </row>
    <row r="203" spans="2:31" ht="12">
      <c r="B203" s="55"/>
      <c r="AB203" s="304"/>
      <c r="AC203" s="304"/>
      <c r="AD203" s="304"/>
      <c r="AE203" s="304"/>
    </row>
    <row r="204" spans="2:31" ht="12">
      <c r="B204" s="55"/>
      <c r="AB204" s="304"/>
      <c r="AC204" s="304"/>
      <c r="AD204" s="304"/>
      <c r="AE204" s="304"/>
    </row>
    <row r="205" spans="2:31" ht="12">
      <c r="B205" s="55"/>
      <c r="AB205" s="304"/>
      <c r="AC205" s="304"/>
      <c r="AD205" s="304"/>
      <c r="AE205" s="304"/>
    </row>
    <row r="206" spans="2:31" ht="12">
      <c r="B206" s="55"/>
      <c r="AB206" s="304"/>
      <c r="AC206" s="304"/>
      <c r="AD206" s="304"/>
      <c r="AE206" s="304"/>
    </row>
    <row r="207" spans="2:31" ht="12">
      <c r="B207" s="55"/>
      <c r="AB207" s="304"/>
      <c r="AC207" s="304"/>
      <c r="AD207" s="304"/>
      <c r="AE207" s="304"/>
    </row>
    <row r="208" spans="2:31" ht="12">
      <c r="B208" s="55"/>
      <c r="AB208" s="304"/>
      <c r="AC208" s="304"/>
      <c r="AD208" s="304"/>
      <c r="AE208" s="304"/>
    </row>
    <row r="209" spans="2:31" ht="12">
      <c r="B209" s="55"/>
      <c r="AB209" s="304"/>
      <c r="AC209" s="304"/>
      <c r="AD209" s="304"/>
      <c r="AE209" s="304"/>
    </row>
    <row r="210" spans="2:31" ht="12">
      <c r="B210" s="55"/>
      <c r="AB210" s="304"/>
      <c r="AC210" s="304"/>
      <c r="AD210" s="304"/>
      <c r="AE210" s="304"/>
    </row>
    <row r="211" spans="2:31" ht="12">
      <c r="B211" s="55"/>
      <c r="AB211" s="304"/>
      <c r="AC211" s="304"/>
      <c r="AD211" s="304"/>
      <c r="AE211" s="304"/>
    </row>
    <row r="212" spans="2:31" ht="12">
      <c r="B212" s="55"/>
      <c r="AB212" s="304"/>
      <c r="AC212" s="304"/>
      <c r="AD212" s="304"/>
      <c r="AE212" s="304"/>
    </row>
    <row r="213" spans="2:31" ht="12">
      <c r="B213" s="55"/>
      <c r="AB213" s="304"/>
      <c r="AC213" s="304"/>
      <c r="AD213" s="304"/>
      <c r="AE213" s="304"/>
    </row>
    <row r="214" spans="2:31" ht="12">
      <c r="B214" s="55"/>
      <c r="AB214" s="304"/>
      <c r="AC214" s="304"/>
      <c r="AD214" s="304"/>
      <c r="AE214" s="304"/>
    </row>
    <row r="215" spans="2:31" ht="12">
      <c r="B215" s="55"/>
      <c r="AB215" s="304"/>
      <c r="AC215" s="304"/>
      <c r="AD215" s="304"/>
      <c r="AE215" s="304"/>
    </row>
    <row r="216" spans="2:31" ht="12">
      <c r="B216" s="55"/>
      <c r="AB216" s="304"/>
      <c r="AC216" s="304"/>
      <c r="AD216" s="304"/>
      <c r="AE216" s="304"/>
    </row>
    <row r="217" spans="2:31" ht="12">
      <c r="B217" s="55"/>
      <c r="AB217" s="304"/>
      <c r="AC217" s="304"/>
      <c r="AD217" s="304"/>
      <c r="AE217" s="304"/>
    </row>
    <row r="218" spans="2:31" ht="12">
      <c r="B218" s="55"/>
      <c r="AB218" s="304"/>
      <c r="AC218" s="304"/>
      <c r="AD218" s="304"/>
      <c r="AE218" s="304"/>
    </row>
    <row r="219" spans="2:31" ht="12">
      <c r="B219" s="55"/>
      <c r="AB219" s="304"/>
      <c r="AC219" s="304"/>
      <c r="AD219" s="304"/>
      <c r="AE219" s="304"/>
    </row>
    <row r="220" spans="2:31" ht="12">
      <c r="B220" s="55"/>
      <c r="AB220" s="304"/>
      <c r="AC220" s="304"/>
      <c r="AD220" s="304"/>
      <c r="AE220" s="304"/>
    </row>
    <row r="221" spans="2:31" ht="12">
      <c r="B221" s="55"/>
      <c r="AB221" s="304"/>
      <c r="AC221" s="304"/>
      <c r="AD221" s="304"/>
      <c r="AE221" s="304"/>
    </row>
    <row r="222" spans="2:31" ht="12">
      <c r="B222" s="55"/>
      <c r="AB222" s="304"/>
      <c r="AC222" s="304"/>
      <c r="AD222" s="304"/>
      <c r="AE222" s="304"/>
    </row>
    <row r="223" spans="2:31" ht="12">
      <c r="B223" s="55"/>
      <c r="AB223" s="304"/>
      <c r="AC223" s="304"/>
      <c r="AD223" s="304"/>
      <c r="AE223" s="304"/>
    </row>
    <row r="224" spans="2:31" ht="12">
      <c r="B224" s="55"/>
      <c r="AB224" s="304"/>
      <c r="AC224" s="304"/>
      <c r="AD224" s="304"/>
      <c r="AE224" s="304"/>
    </row>
    <row r="225" spans="2:31" ht="12">
      <c r="B225" s="55"/>
      <c r="AB225" s="304"/>
      <c r="AC225" s="304"/>
      <c r="AD225" s="304"/>
      <c r="AE225" s="304"/>
    </row>
    <row r="226" spans="2:31" ht="12">
      <c r="B226" s="55"/>
      <c r="AB226" s="304"/>
      <c r="AC226" s="304"/>
      <c r="AD226" s="304"/>
      <c r="AE226" s="304"/>
    </row>
    <row r="227" spans="2:31" ht="12">
      <c r="B227" s="55"/>
      <c r="AB227" s="304"/>
      <c r="AC227" s="304"/>
      <c r="AD227" s="304"/>
      <c r="AE227" s="304"/>
    </row>
    <row r="228" spans="2:31" ht="12">
      <c r="B228" s="55"/>
      <c r="AB228" s="304"/>
      <c r="AC228" s="304"/>
      <c r="AD228" s="304"/>
      <c r="AE228" s="304"/>
    </row>
    <row r="229" spans="2:31" ht="12">
      <c r="B229" s="55"/>
      <c r="AB229" s="304"/>
      <c r="AC229" s="304"/>
      <c r="AD229" s="304"/>
      <c r="AE229" s="304"/>
    </row>
    <row r="230" spans="2:31" ht="12">
      <c r="B230" s="55"/>
      <c r="AB230" s="304"/>
      <c r="AC230" s="304"/>
      <c r="AD230" s="304"/>
      <c r="AE230" s="304"/>
    </row>
    <row r="231" spans="2:31" ht="12">
      <c r="B231" s="55"/>
      <c r="AB231" s="304"/>
      <c r="AC231" s="304"/>
      <c r="AD231" s="304"/>
      <c r="AE231" s="304"/>
    </row>
    <row r="232" spans="2:31" ht="12">
      <c r="B232" s="55"/>
      <c r="AB232" s="304"/>
      <c r="AC232" s="304"/>
      <c r="AD232" s="304"/>
      <c r="AE232" s="304"/>
    </row>
    <row r="233" spans="2:31" ht="12">
      <c r="B233" s="55"/>
      <c r="AB233" s="304"/>
      <c r="AC233" s="304"/>
      <c r="AD233" s="304"/>
      <c r="AE233" s="304"/>
    </row>
    <row r="234" spans="2:31" ht="12">
      <c r="B234" s="55"/>
      <c r="AB234" s="304"/>
      <c r="AC234" s="304"/>
      <c r="AD234" s="304"/>
      <c r="AE234" s="304"/>
    </row>
    <row r="235" spans="2:31" ht="12">
      <c r="B235" s="55"/>
      <c r="AB235" s="304"/>
      <c r="AC235" s="304"/>
      <c r="AD235" s="304"/>
      <c r="AE235" s="304"/>
    </row>
    <row r="236" spans="2:31" ht="12">
      <c r="B236" s="55"/>
      <c r="AB236" s="304"/>
      <c r="AC236" s="304"/>
      <c r="AD236" s="304"/>
      <c r="AE236" s="304"/>
    </row>
    <row r="237" spans="2:31" ht="12">
      <c r="B237" s="55"/>
      <c r="AB237" s="304"/>
      <c r="AC237" s="304"/>
      <c r="AD237" s="304"/>
      <c r="AE237" s="304"/>
    </row>
    <row r="238" spans="2:31" ht="12">
      <c r="B238" s="55"/>
      <c r="AB238" s="304"/>
      <c r="AC238" s="304"/>
      <c r="AD238" s="304"/>
      <c r="AE238" s="304"/>
    </row>
    <row r="239" spans="2:31" ht="12">
      <c r="B239" s="55"/>
      <c r="AB239" s="304"/>
      <c r="AC239" s="304"/>
      <c r="AD239" s="304"/>
      <c r="AE239" s="304"/>
    </row>
    <row r="240" spans="2:31" ht="12">
      <c r="B240" s="55"/>
      <c r="AB240" s="304"/>
      <c r="AC240" s="304"/>
      <c r="AD240" s="304"/>
      <c r="AE240" s="304"/>
    </row>
    <row r="241" spans="2:31" ht="12">
      <c r="B241" s="55"/>
      <c r="AB241" s="304"/>
      <c r="AC241" s="304"/>
      <c r="AD241" s="304"/>
      <c r="AE241" s="304"/>
    </row>
    <row r="242" spans="2:31" ht="12">
      <c r="B242" s="55"/>
      <c r="AB242" s="304"/>
      <c r="AC242" s="304"/>
      <c r="AD242" s="304"/>
      <c r="AE242" s="304"/>
    </row>
    <row r="243" spans="2:31" ht="12">
      <c r="B243" s="55"/>
      <c r="AB243" s="304"/>
      <c r="AC243" s="304"/>
      <c r="AD243" s="304"/>
      <c r="AE243" s="304"/>
    </row>
    <row r="244" spans="2:31" ht="12">
      <c r="B244" s="55"/>
      <c r="AB244" s="304"/>
      <c r="AC244" s="304"/>
      <c r="AD244" s="304"/>
      <c r="AE244" s="304"/>
    </row>
    <row r="245" spans="2:31" ht="12">
      <c r="B245" s="55"/>
      <c r="AB245" s="304"/>
      <c r="AC245" s="304"/>
      <c r="AD245" s="304"/>
      <c r="AE245" s="304"/>
    </row>
    <row r="246" spans="2:31" ht="12">
      <c r="B246" s="55"/>
      <c r="AB246" s="304"/>
      <c r="AC246" s="304"/>
      <c r="AD246" s="304"/>
      <c r="AE246" s="304"/>
    </row>
    <row r="247" spans="2:31" ht="12">
      <c r="B247" s="55"/>
      <c r="AB247" s="304"/>
      <c r="AC247" s="304"/>
      <c r="AD247" s="304"/>
      <c r="AE247" s="304"/>
    </row>
    <row r="248" spans="2:31" ht="12">
      <c r="B248" s="55"/>
      <c r="AB248" s="304"/>
      <c r="AC248" s="304"/>
      <c r="AD248" s="304"/>
      <c r="AE248" s="304"/>
    </row>
    <row r="249" spans="2:31" ht="12">
      <c r="B249" s="55"/>
      <c r="AB249" s="304"/>
      <c r="AC249" s="304"/>
      <c r="AD249" s="304"/>
      <c r="AE249" s="304"/>
    </row>
    <row r="250" spans="2:31" ht="12">
      <c r="B250" s="55"/>
      <c r="AB250" s="304"/>
      <c r="AC250" s="304"/>
      <c r="AD250" s="304"/>
      <c r="AE250" s="304"/>
    </row>
    <row r="251" spans="2:31" ht="12">
      <c r="B251" s="55"/>
      <c r="AB251" s="304"/>
      <c r="AC251" s="304"/>
      <c r="AD251" s="304"/>
      <c r="AE251" s="304"/>
    </row>
    <row r="252" spans="2:31" ht="12">
      <c r="B252" s="55"/>
      <c r="AB252" s="304"/>
      <c r="AC252" s="304"/>
      <c r="AD252" s="304"/>
      <c r="AE252" s="304"/>
    </row>
    <row r="253" spans="2:31" ht="12">
      <c r="B253" s="55"/>
      <c r="AB253" s="304"/>
      <c r="AC253" s="304"/>
      <c r="AD253" s="304"/>
      <c r="AE253" s="304"/>
    </row>
    <row r="254" spans="2:31" ht="12">
      <c r="B254" s="55"/>
      <c r="AB254" s="304"/>
      <c r="AC254" s="304"/>
      <c r="AD254" s="304"/>
      <c r="AE254" s="304"/>
    </row>
    <row r="255" spans="2:31" ht="12">
      <c r="B255" s="55"/>
      <c r="AB255" s="304"/>
      <c r="AC255" s="304"/>
      <c r="AD255" s="304"/>
      <c r="AE255" s="304"/>
    </row>
    <row r="256" spans="2:31" ht="12">
      <c r="B256" s="55"/>
      <c r="AB256" s="304"/>
      <c r="AC256" s="304"/>
      <c r="AD256" s="304"/>
      <c r="AE256" s="304"/>
    </row>
    <row r="257" spans="2:31" ht="12">
      <c r="B257" s="55"/>
      <c r="AB257" s="304"/>
      <c r="AC257" s="304"/>
      <c r="AD257" s="304"/>
      <c r="AE257" s="304"/>
    </row>
    <row r="258" spans="2:31" ht="12">
      <c r="B258" s="55"/>
      <c r="AB258" s="304"/>
      <c r="AC258" s="304"/>
      <c r="AD258" s="304"/>
      <c r="AE258" s="304"/>
    </row>
    <row r="259" spans="2:31" ht="12">
      <c r="B259" s="55"/>
      <c r="AB259" s="304"/>
      <c r="AC259" s="304"/>
      <c r="AD259" s="304"/>
      <c r="AE259" s="304"/>
    </row>
    <row r="260" spans="2:31" ht="12">
      <c r="B260" s="55"/>
      <c r="AB260" s="304"/>
      <c r="AC260" s="304"/>
      <c r="AD260" s="304"/>
      <c r="AE260" s="304"/>
    </row>
    <row r="261" spans="2:31" ht="12">
      <c r="B261" s="55"/>
      <c r="AB261" s="304"/>
      <c r="AC261" s="304"/>
      <c r="AD261" s="304"/>
      <c r="AE261" s="304"/>
    </row>
    <row r="262" spans="2:31" ht="12">
      <c r="B262" s="55"/>
      <c r="AB262" s="304"/>
      <c r="AC262" s="304"/>
      <c r="AD262" s="304"/>
      <c r="AE262" s="304"/>
    </row>
    <row r="263" spans="2:31" ht="12">
      <c r="B263" s="55"/>
      <c r="AB263" s="304"/>
      <c r="AC263" s="304"/>
      <c r="AD263" s="304"/>
      <c r="AE263" s="304"/>
    </row>
    <row r="264" spans="2:31" ht="12">
      <c r="B264" s="55"/>
      <c r="AB264" s="304"/>
      <c r="AC264" s="304"/>
      <c r="AD264" s="304"/>
      <c r="AE264" s="304"/>
    </row>
    <row r="265" spans="2:31" ht="12">
      <c r="B265" s="55"/>
      <c r="AB265" s="304"/>
      <c r="AC265" s="304"/>
      <c r="AD265" s="304"/>
      <c r="AE265" s="304"/>
    </row>
    <row r="266" spans="2:31" ht="12">
      <c r="B266" s="55"/>
      <c r="AB266" s="304"/>
      <c r="AC266" s="304"/>
      <c r="AD266" s="304"/>
      <c r="AE266" s="304"/>
    </row>
    <row r="267" spans="2:31" ht="12">
      <c r="B267" s="55"/>
      <c r="AB267" s="304"/>
      <c r="AC267" s="304"/>
      <c r="AD267" s="304"/>
      <c r="AE267" s="304"/>
    </row>
    <row r="268" spans="2:31" ht="12">
      <c r="B268" s="55"/>
      <c r="AB268" s="304"/>
      <c r="AC268" s="304"/>
      <c r="AD268" s="304"/>
      <c r="AE268" s="304"/>
    </row>
    <row r="269" spans="2:31" ht="12">
      <c r="B269" s="55"/>
      <c r="AB269" s="304"/>
      <c r="AC269" s="304"/>
      <c r="AD269" s="304"/>
      <c r="AE269" s="304"/>
    </row>
    <row r="270" spans="2:31" ht="12">
      <c r="B270" s="55"/>
      <c r="AB270" s="304"/>
      <c r="AC270" s="304"/>
      <c r="AD270" s="304"/>
      <c r="AE270" s="304"/>
    </row>
    <row r="271" spans="2:31" ht="12">
      <c r="B271" s="55"/>
      <c r="AB271" s="304"/>
      <c r="AC271" s="304"/>
      <c r="AD271" s="304"/>
      <c r="AE271" s="304"/>
    </row>
    <row r="272" spans="2:31" ht="12">
      <c r="B272" s="55"/>
      <c r="AB272" s="304"/>
      <c r="AC272" s="304"/>
      <c r="AD272" s="304"/>
      <c r="AE272" s="304"/>
    </row>
    <row r="273" spans="2:31" ht="12">
      <c r="B273" s="55"/>
      <c r="AB273" s="304"/>
      <c r="AC273" s="304"/>
      <c r="AD273" s="304"/>
      <c r="AE273" s="304"/>
    </row>
    <row r="274" spans="2:31" ht="12">
      <c r="B274" s="55"/>
      <c r="AB274" s="304"/>
      <c r="AC274" s="304"/>
      <c r="AD274" s="304"/>
      <c r="AE274" s="304"/>
    </row>
    <row r="275" spans="2:31" ht="12">
      <c r="B275" s="55"/>
      <c r="AB275" s="304"/>
      <c r="AC275" s="304"/>
      <c r="AD275" s="304"/>
      <c r="AE275" s="304"/>
    </row>
    <row r="276" spans="2:31" ht="12">
      <c r="B276" s="55"/>
      <c r="AB276" s="304"/>
      <c r="AC276" s="304"/>
      <c r="AD276" s="304"/>
      <c r="AE276" s="304"/>
    </row>
    <row r="277" spans="2:31" ht="12">
      <c r="B277" s="55"/>
      <c r="AB277" s="304"/>
      <c r="AC277" s="304"/>
      <c r="AD277" s="304"/>
      <c r="AE277" s="304"/>
    </row>
    <row r="278" spans="2:31" ht="12">
      <c r="B278" s="55"/>
      <c r="AB278" s="304"/>
      <c r="AC278" s="304"/>
      <c r="AD278" s="304"/>
      <c r="AE278" s="304"/>
    </row>
    <row r="279" spans="2:31" ht="12">
      <c r="B279" s="55"/>
      <c r="AB279" s="304"/>
      <c r="AC279" s="304"/>
      <c r="AD279" s="304"/>
      <c r="AE279" s="304"/>
    </row>
    <row r="280" spans="2:31" ht="12">
      <c r="B280" s="55"/>
      <c r="AB280" s="304"/>
      <c r="AC280" s="304"/>
      <c r="AD280" s="304"/>
      <c r="AE280" s="304"/>
    </row>
    <row r="281" spans="2:31" ht="12">
      <c r="B281" s="55"/>
      <c r="AB281" s="304"/>
      <c r="AC281" s="304"/>
      <c r="AD281" s="304"/>
      <c r="AE281" s="304"/>
    </row>
    <row r="282" spans="2:31" ht="12">
      <c r="B282" s="55"/>
      <c r="AB282" s="304"/>
      <c r="AC282" s="304"/>
      <c r="AD282" s="304"/>
      <c r="AE282" s="304"/>
    </row>
    <row r="283" spans="2:31" ht="12">
      <c r="B283" s="55"/>
      <c r="AB283" s="304"/>
      <c r="AC283" s="304"/>
      <c r="AD283" s="304"/>
      <c r="AE283" s="304"/>
    </row>
    <row r="284" spans="2:31" ht="12">
      <c r="B284" s="55"/>
      <c r="AB284" s="304"/>
      <c r="AC284" s="304"/>
      <c r="AD284" s="304"/>
      <c r="AE284" s="304"/>
    </row>
    <row r="285" spans="2:31" ht="12">
      <c r="B285" s="55"/>
      <c r="AB285" s="304"/>
      <c r="AC285" s="304"/>
      <c r="AD285" s="304"/>
      <c r="AE285" s="304"/>
    </row>
    <row r="286" spans="2:31" ht="12">
      <c r="B286" s="55"/>
      <c r="AB286" s="304"/>
      <c r="AC286" s="304"/>
      <c r="AD286" s="304"/>
      <c r="AE286" s="304"/>
    </row>
    <row r="287" spans="2:31" ht="12">
      <c r="B287" s="55"/>
      <c r="AB287" s="304"/>
      <c r="AC287" s="304"/>
      <c r="AD287" s="304"/>
      <c r="AE287" s="304"/>
    </row>
    <row r="288" spans="2:31" ht="12">
      <c r="B288" s="55"/>
      <c r="AB288" s="304"/>
      <c r="AC288" s="304"/>
      <c r="AD288" s="304"/>
      <c r="AE288" s="304"/>
    </row>
    <row r="289" spans="2:31" ht="12">
      <c r="B289" s="55"/>
      <c r="AB289" s="304"/>
      <c r="AC289" s="304"/>
      <c r="AD289" s="304"/>
      <c r="AE289" s="304"/>
    </row>
    <row r="290" spans="2:31" ht="12">
      <c r="B290" s="55"/>
      <c r="AB290" s="304"/>
      <c r="AC290" s="304"/>
      <c r="AD290" s="304"/>
      <c r="AE290" s="304"/>
    </row>
    <row r="291" spans="2:31" ht="12">
      <c r="B291" s="55"/>
      <c r="AB291" s="304"/>
      <c r="AC291" s="304"/>
      <c r="AD291" s="304"/>
      <c r="AE291" s="304"/>
    </row>
    <row r="292" spans="2:31" ht="12">
      <c r="B292" s="55"/>
      <c r="AB292" s="304"/>
      <c r="AC292" s="304"/>
      <c r="AD292" s="304"/>
      <c r="AE292" s="304"/>
    </row>
    <row r="293" spans="2:31" ht="12">
      <c r="B293" s="55"/>
      <c r="AB293" s="304"/>
      <c r="AC293" s="304"/>
      <c r="AD293" s="304"/>
      <c r="AE293" s="304"/>
    </row>
    <row r="294" spans="2:31" ht="12">
      <c r="B294" s="55"/>
      <c r="AB294" s="304"/>
      <c r="AC294" s="304"/>
      <c r="AD294" s="304"/>
      <c r="AE294" s="304"/>
    </row>
    <row r="295" spans="2:31" ht="12">
      <c r="B295" s="55"/>
      <c r="AB295" s="304"/>
      <c r="AC295" s="304"/>
      <c r="AD295" s="304"/>
      <c r="AE295" s="304"/>
    </row>
    <row r="296" spans="2:31" ht="12">
      <c r="B296" s="55"/>
      <c r="AB296" s="304"/>
      <c r="AC296" s="304"/>
      <c r="AD296" s="304"/>
      <c r="AE296" s="304"/>
    </row>
    <row r="297" spans="2:31" ht="12">
      <c r="B297" s="55"/>
      <c r="AB297" s="304"/>
      <c r="AC297" s="304"/>
      <c r="AD297" s="304"/>
      <c r="AE297" s="304"/>
    </row>
    <row r="298" spans="2:31" ht="12">
      <c r="B298" s="55"/>
      <c r="AB298" s="304"/>
      <c r="AC298" s="304"/>
      <c r="AD298" s="304"/>
      <c r="AE298" s="304"/>
    </row>
    <row r="299" spans="2:31" ht="12">
      <c r="B299" s="55"/>
      <c r="AB299" s="304"/>
      <c r="AC299" s="304"/>
      <c r="AD299" s="304"/>
      <c r="AE299" s="304"/>
    </row>
    <row r="300" spans="2:31" ht="12">
      <c r="B300" s="55"/>
      <c r="AB300" s="304"/>
      <c r="AC300" s="304"/>
      <c r="AD300" s="304"/>
      <c r="AE300" s="304"/>
    </row>
    <row r="301" spans="2:31" ht="12">
      <c r="B301" s="55"/>
      <c r="AB301" s="304"/>
      <c r="AC301" s="304"/>
      <c r="AD301" s="304"/>
      <c r="AE301" s="304"/>
    </row>
    <row r="302" spans="2:31" ht="12">
      <c r="B302" s="55"/>
      <c r="AB302" s="304"/>
      <c r="AC302" s="304"/>
      <c r="AD302" s="304"/>
      <c r="AE302" s="304"/>
    </row>
    <row r="303" spans="2:31" ht="12">
      <c r="B303" s="55"/>
      <c r="AB303" s="304"/>
      <c r="AC303" s="304"/>
      <c r="AD303" s="304"/>
      <c r="AE303" s="304"/>
    </row>
    <row r="304" spans="2:31" ht="12">
      <c r="B304" s="55"/>
      <c r="AB304" s="304"/>
      <c r="AC304" s="304"/>
      <c r="AD304" s="304"/>
      <c r="AE304" s="304"/>
    </row>
    <row r="305" spans="2:31" ht="12">
      <c r="B305" s="55"/>
      <c r="AB305" s="304"/>
      <c r="AC305" s="304"/>
      <c r="AD305" s="304"/>
      <c r="AE305" s="304"/>
    </row>
    <row r="306" spans="2:31" ht="12">
      <c r="B306" s="55"/>
      <c r="AB306" s="304"/>
      <c r="AC306" s="304"/>
      <c r="AD306" s="304"/>
      <c r="AE306" s="304"/>
    </row>
    <row r="307" spans="2:31" ht="12">
      <c r="B307" s="55"/>
      <c r="AB307" s="304"/>
      <c r="AC307" s="304"/>
      <c r="AD307" s="304"/>
      <c r="AE307" s="304"/>
    </row>
    <row r="308" spans="2:31" ht="12">
      <c r="B308" s="55"/>
      <c r="AB308" s="304"/>
      <c r="AC308" s="304"/>
      <c r="AD308" s="304"/>
      <c r="AE308" s="304"/>
    </row>
    <row r="309" spans="2:31" ht="12">
      <c r="B309" s="55"/>
      <c r="AB309" s="304"/>
      <c r="AC309" s="304"/>
      <c r="AD309" s="304"/>
      <c r="AE309" s="304"/>
    </row>
    <row r="310" spans="2:31" ht="12">
      <c r="B310" s="55"/>
      <c r="AB310" s="304"/>
      <c r="AC310" s="304"/>
      <c r="AD310" s="304"/>
      <c r="AE310" s="304"/>
    </row>
    <row r="311" spans="2:31" ht="12">
      <c r="B311" s="55"/>
      <c r="AB311" s="304"/>
      <c r="AC311" s="304"/>
      <c r="AD311" s="304"/>
      <c r="AE311" s="304"/>
    </row>
    <row r="312" spans="2:31" ht="12">
      <c r="B312" s="55"/>
      <c r="AB312" s="304"/>
      <c r="AC312" s="304"/>
      <c r="AD312" s="304"/>
      <c r="AE312" s="304"/>
    </row>
    <row r="313" spans="2:31" ht="12">
      <c r="B313" s="55"/>
      <c r="AB313" s="304"/>
      <c r="AC313" s="304"/>
      <c r="AD313" s="304"/>
      <c r="AE313" s="304"/>
    </row>
    <row r="314" spans="2:31" ht="12">
      <c r="B314" s="55"/>
      <c r="AB314" s="304"/>
      <c r="AC314" s="304"/>
      <c r="AD314" s="304"/>
      <c r="AE314" s="304"/>
    </row>
    <row r="315" spans="2:31" ht="12">
      <c r="B315" s="55"/>
      <c r="AB315" s="304"/>
      <c r="AC315" s="304"/>
      <c r="AD315" s="304"/>
      <c r="AE315" s="304"/>
    </row>
    <row r="316" spans="2:31" ht="12">
      <c r="B316" s="55"/>
      <c r="AB316" s="304"/>
      <c r="AC316" s="304"/>
      <c r="AD316" s="304"/>
      <c r="AE316" s="304"/>
    </row>
    <row r="317" spans="2:31" ht="12">
      <c r="B317" s="55"/>
      <c r="AB317" s="304"/>
      <c r="AC317" s="304"/>
      <c r="AD317" s="304"/>
      <c r="AE317" s="304"/>
    </row>
    <row r="318" spans="2:31" ht="12">
      <c r="B318" s="55"/>
      <c r="AB318" s="304"/>
      <c r="AC318" s="304"/>
      <c r="AD318" s="304"/>
      <c r="AE318" s="304"/>
    </row>
    <row r="319" spans="2:31" ht="12">
      <c r="B319" s="55"/>
      <c r="AB319" s="304"/>
      <c r="AC319" s="304"/>
      <c r="AD319" s="304"/>
      <c r="AE319" s="304"/>
    </row>
    <row r="320" spans="2:31" ht="12">
      <c r="B320" s="55"/>
      <c r="AB320" s="304"/>
      <c r="AC320" s="304"/>
      <c r="AD320" s="304"/>
      <c r="AE320" s="304"/>
    </row>
    <row r="321" spans="2:31" ht="12">
      <c r="B321" s="55"/>
      <c r="AB321" s="304"/>
      <c r="AC321" s="304"/>
      <c r="AD321" s="304"/>
      <c r="AE321" s="304"/>
    </row>
    <row r="322" spans="2:31" ht="12">
      <c r="B322" s="55"/>
      <c r="AB322" s="304"/>
      <c r="AC322" s="304"/>
      <c r="AD322" s="304"/>
      <c r="AE322" s="304"/>
    </row>
    <row r="323" spans="2:31" ht="12">
      <c r="B323" s="55"/>
      <c r="AB323" s="304"/>
      <c r="AC323" s="304"/>
      <c r="AD323" s="304"/>
      <c r="AE323" s="304"/>
    </row>
    <row r="324" spans="2:31" ht="12">
      <c r="B324" s="55"/>
      <c r="AB324" s="304"/>
      <c r="AC324" s="304"/>
      <c r="AD324" s="304"/>
      <c r="AE324" s="304"/>
    </row>
    <row r="325" spans="2:31" ht="12">
      <c r="B325" s="55"/>
      <c r="AB325" s="304"/>
      <c r="AC325" s="304"/>
      <c r="AD325" s="304"/>
      <c r="AE325" s="304"/>
    </row>
    <row r="326" spans="2:31" ht="12">
      <c r="B326" s="55"/>
      <c r="AB326" s="304"/>
      <c r="AC326" s="304"/>
      <c r="AD326" s="304"/>
      <c r="AE326" s="304"/>
    </row>
    <row r="327" spans="2:31" ht="12">
      <c r="B327" s="55"/>
      <c r="AB327" s="304"/>
      <c r="AC327" s="304"/>
      <c r="AD327" s="304"/>
      <c r="AE327" s="304"/>
    </row>
    <row r="328" spans="2:31" ht="12">
      <c r="B328" s="55"/>
      <c r="AB328" s="304"/>
      <c r="AC328" s="304"/>
      <c r="AD328" s="304"/>
      <c r="AE328" s="304"/>
    </row>
    <row r="329" spans="2:31" ht="12">
      <c r="B329" s="55"/>
      <c r="AB329" s="304"/>
      <c r="AC329" s="304"/>
      <c r="AD329" s="304"/>
      <c r="AE329" s="304"/>
    </row>
    <row r="330" spans="2:31" ht="12">
      <c r="B330" s="55"/>
      <c r="AB330" s="304"/>
      <c r="AC330" s="304"/>
      <c r="AD330" s="304"/>
      <c r="AE330" s="304"/>
    </row>
    <row r="331" spans="2:31" ht="12">
      <c r="B331" s="55"/>
      <c r="AB331" s="304"/>
      <c r="AC331" s="304"/>
      <c r="AD331" s="304"/>
      <c r="AE331" s="304"/>
    </row>
    <row r="332" spans="2:31" ht="12">
      <c r="B332" s="55"/>
      <c r="AB332" s="304"/>
      <c r="AC332" s="304"/>
      <c r="AD332" s="304"/>
      <c r="AE332" s="304"/>
    </row>
    <row r="333" spans="2:31" ht="12">
      <c r="B333" s="55"/>
      <c r="AB333" s="304"/>
      <c r="AC333" s="304"/>
      <c r="AD333" s="304"/>
      <c r="AE333" s="304"/>
    </row>
    <row r="334" spans="2:31" ht="12">
      <c r="B334" s="55"/>
      <c r="AB334" s="304"/>
      <c r="AC334" s="304"/>
      <c r="AD334" s="304"/>
      <c r="AE334" s="304"/>
    </row>
    <row r="335" spans="2:31" ht="12">
      <c r="B335" s="55"/>
      <c r="AB335" s="304"/>
      <c r="AC335" s="304"/>
      <c r="AD335" s="304"/>
      <c r="AE335" s="304"/>
    </row>
    <row r="336" spans="2:31" ht="12">
      <c r="B336" s="55"/>
      <c r="AB336" s="304"/>
      <c r="AC336" s="304"/>
      <c r="AD336" s="304"/>
      <c r="AE336" s="304"/>
    </row>
    <row r="337" spans="2:31" ht="12">
      <c r="B337" s="55"/>
      <c r="AB337" s="304"/>
      <c r="AC337" s="304"/>
      <c r="AD337" s="304"/>
      <c r="AE337" s="304"/>
    </row>
    <row r="338" spans="2:31" ht="12">
      <c r="B338" s="55"/>
      <c r="AB338" s="304"/>
      <c r="AC338" s="304"/>
      <c r="AD338" s="304"/>
      <c r="AE338" s="304"/>
    </row>
    <row r="339" spans="2:31" ht="12">
      <c r="B339" s="55"/>
      <c r="AB339" s="304"/>
      <c r="AC339" s="304"/>
      <c r="AD339" s="304"/>
      <c r="AE339" s="304"/>
    </row>
    <row r="340" spans="2:31" ht="12">
      <c r="B340" s="55"/>
      <c r="AB340" s="304"/>
      <c r="AC340" s="304"/>
      <c r="AD340" s="304"/>
      <c r="AE340" s="304"/>
    </row>
    <row r="341" spans="2:31" ht="12">
      <c r="B341" s="55"/>
      <c r="AB341" s="304"/>
      <c r="AC341" s="304"/>
      <c r="AD341" s="304"/>
      <c r="AE341" s="304"/>
    </row>
    <row r="342" spans="2:31" ht="12">
      <c r="B342" s="55"/>
      <c r="AB342" s="304"/>
      <c r="AC342" s="304"/>
      <c r="AD342" s="304"/>
      <c r="AE342" s="304"/>
    </row>
    <row r="343" spans="2:31" ht="12">
      <c r="B343" s="55"/>
      <c r="AB343" s="304"/>
      <c r="AC343" s="304"/>
      <c r="AD343" s="304"/>
      <c r="AE343" s="304"/>
    </row>
    <row r="344" spans="2:31" ht="12">
      <c r="B344" s="55"/>
      <c r="AB344" s="304"/>
      <c r="AC344" s="304"/>
      <c r="AD344" s="304"/>
      <c r="AE344" s="304"/>
    </row>
    <row r="345" spans="2:31" ht="12">
      <c r="B345" s="55"/>
      <c r="AB345" s="304"/>
      <c r="AC345" s="304"/>
      <c r="AD345" s="304"/>
      <c r="AE345" s="304"/>
    </row>
    <row r="346" spans="2:31" ht="12">
      <c r="B346" s="55"/>
      <c r="AB346" s="304"/>
      <c r="AC346" s="304"/>
      <c r="AD346" s="304"/>
      <c r="AE346" s="304"/>
    </row>
    <row r="347" spans="2:31" ht="12">
      <c r="B347" s="55"/>
      <c r="AB347" s="304"/>
      <c r="AC347" s="304"/>
      <c r="AD347" s="304"/>
      <c r="AE347" s="304"/>
    </row>
    <row r="348" spans="2:31" ht="12">
      <c r="B348" s="55"/>
      <c r="AB348" s="304"/>
      <c r="AC348" s="304"/>
      <c r="AD348" s="304"/>
      <c r="AE348" s="304"/>
    </row>
    <row r="349" spans="2:31" ht="12">
      <c r="B349" s="55"/>
      <c r="AB349" s="304"/>
      <c r="AC349" s="304"/>
      <c r="AD349" s="304"/>
      <c r="AE349" s="304"/>
    </row>
    <row r="350" spans="2:31" ht="12">
      <c r="B350" s="55"/>
      <c r="AB350" s="304"/>
      <c r="AC350" s="304"/>
      <c r="AD350" s="304"/>
      <c r="AE350" s="304"/>
    </row>
    <row r="351" spans="2:31" ht="12">
      <c r="B351" s="55"/>
      <c r="AB351" s="304"/>
      <c r="AC351" s="304"/>
      <c r="AD351" s="304"/>
      <c r="AE351" s="304"/>
    </row>
    <row r="352" spans="2:31" ht="12">
      <c r="B352" s="55"/>
      <c r="AB352" s="304"/>
      <c r="AC352" s="304"/>
      <c r="AD352" s="304"/>
      <c r="AE352" s="304"/>
    </row>
    <row r="353" spans="2:31" ht="12">
      <c r="B353" s="55"/>
      <c r="AB353" s="304"/>
      <c r="AC353" s="304"/>
      <c r="AD353" s="304"/>
      <c r="AE353" s="304"/>
    </row>
    <row r="354" spans="2:31" ht="12">
      <c r="B354" s="55"/>
      <c r="AB354" s="304"/>
      <c r="AC354" s="304"/>
      <c r="AD354" s="304"/>
      <c r="AE354" s="304"/>
    </row>
    <row r="355" spans="2:31" ht="12">
      <c r="B355" s="55"/>
      <c r="AB355" s="304"/>
      <c r="AC355" s="304"/>
      <c r="AD355" s="304"/>
      <c r="AE355" s="304"/>
    </row>
    <row r="356" spans="2:31" ht="12">
      <c r="B356" s="55"/>
      <c r="AB356" s="304"/>
      <c r="AC356" s="304"/>
      <c r="AD356" s="304"/>
      <c r="AE356" s="304"/>
    </row>
    <row r="357" spans="2:31" ht="12">
      <c r="B357" s="55"/>
      <c r="AB357" s="304"/>
      <c r="AC357" s="304"/>
      <c r="AD357" s="304"/>
      <c r="AE357" s="304"/>
    </row>
    <row r="358" spans="2:31" ht="12">
      <c r="B358" s="55"/>
      <c r="AB358" s="304"/>
      <c r="AC358" s="304"/>
      <c r="AD358" s="304"/>
      <c r="AE358" s="304"/>
    </row>
    <row r="359" spans="2:31" ht="12">
      <c r="B359" s="55"/>
      <c r="AB359" s="304"/>
      <c r="AC359" s="304"/>
      <c r="AD359" s="304"/>
      <c r="AE359" s="304"/>
    </row>
    <row r="360" spans="2:31" ht="12">
      <c r="B360" s="55"/>
      <c r="AB360" s="304"/>
      <c r="AC360" s="304"/>
      <c r="AD360" s="304"/>
      <c r="AE360" s="304"/>
    </row>
    <row r="361" spans="2:31" ht="12">
      <c r="B361" s="55"/>
      <c r="AB361" s="304"/>
      <c r="AC361" s="304"/>
      <c r="AD361" s="304"/>
      <c r="AE361" s="304"/>
    </row>
    <row r="362" spans="2:31" ht="12">
      <c r="B362" s="55"/>
      <c r="AB362" s="304"/>
      <c r="AC362" s="304"/>
      <c r="AD362" s="304"/>
      <c r="AE362" s="304"/>
    </row>
    <row r="363" spans="2:31" ht="12">
      <c r="B363" s="55"/>
      <c r="AB363" s="304"/>
      <c r="AC363" s="304"/>
      <c r="AD363" s="304"/>
      <c r="AE363" s="304"/>
    </row>
    <row r="364" spans="2:31" ht="12">
      <c r="B364" s="55"/>
      <c r="AB364" s="304"/>
      <c r="AC364" s="304"/>
      <c r="AD364" s="304"/>
      <c r="AE364" s="304"/>
    </row>
    <row r="365" spans="2:31" ht="12">
      <c r="B365" s="55"/>
      <c r="AB365" s="304"/>
      <c r="AC365" s="304"/>
      <c r="AD365" s="304"/>
      <c r="AE365" s="304"/>
    </row>
    <row r="366" spans="2:31" ht="12">
      <c r="B366" s="55"/>
      <c r="AB366" s="304"/>
      <c r="AC366" s="304"/>
      <c r="AD366" s="304"/>
      <c r="AE366" s="304"/>
    </row>
    <row r="367" spans="2:31" ht="12">
      <c r="B367" s="55"/>
      <c r="AB367" s="304"/>
      <c r="AC367" s="304"/>
      <c r="AD367" s="304"/>
      <c r="AE367" s="304"/>
    </row>
    <row r="368" spans="2:31" ht="12">
      <c r="B368" s="55"/>
      <c r="AB368" s="304"/>
      <c r="AC368" s="304"/>
      <c r="AD368" s="304"/>
      <c r="AE368" s="304"/>
    </row>
    <row r="369" spans="2:31" ht="12">
      <c r="B369" s="55"/>
      <c r="AB369" s="304"/>
      <c r="AC369" s="304"/>
      <c r="AD369" s="304"/>
      <c r="AE369" s="304"/>
    </row>
    <row r="370" spans="2:31" ht="12">
      <c r="B370" s="55"/>
      <c r="AB370" s="304"/>
      <c r="AC370" s="304"/>
      <c r="AD370" s="304"/>
      <c r="AE370" s="304"/>
    </row>
    <row r="371" spans="2:31" ht="12">
      <c r="B371" s="55"/>
      <c r="AB371" s="304"/>
      <c r="AC371" s="304"/>
      <c r="AD371" s="304"/>
      <c r="AE371" s="304"/>
    </row>
    <row r="372" spans="2:31" ht="12">
      <c r="B372" s="55"/>
      <c r="AB372" s="304"/>
      <c r="AC372" s="304"/>
      <c r="AD372" s="304"/>
      <c r="AE372" s="304"/>
    </row>
    <row r="373" spans="2:31" ht="12">
      <c r="B373" s="55"/>
      <c r="AB373" s="304"/>
      <c r="AC373" s="304"/>
      <c r="AD373" s="304"/>
      <c r="AE373" s="304"/>
    </row>
    <row r="374" spans="2:31" ht="12">
      <c r="B374" s="55"/>
      <c r="AB374" s="304"/>
      <c r="AC374" s="304"/>
      <c r="AD374" s="304"/>
      <c r="AE374" s="304"/>
    </row>
    <row r="375" spans="2:31" ht="12">
      <c r="B375" s="55"/>
      <c r="AB375" s="304"/>
      <c r="AC375" s="304"/>
      <c r="AD375" s="304"/>
      <c r="AE375" s="304"/>
    </row>
    <row r="376" spans="2:31" ht="12">
      <c r="B376" s="55"/>
      <c r="AB376" s="304"/>
      <c r="AC376" s="304"/>
      <c r="AD376" s="304"/>
      <c r="AE376" s="304"/>
    </row>
    <row r="377" spans="2:31" ht="12">
      <c r="B377" s="55"/>
      <c r="AB377" s="304"/>
      <c r="AC377" s="304"/>
      <c r="AD377" s="304"/>
      <c r="AE377" s="304"/>
    </row>
    <row r="378" spans="2:31" ht="12">
      <c r="B378" s="55"/>
      <c r="AB378" s="304"/>
      <c r="AC378" s="304"/>
      <c r="AD378" s="304"/>
      <c r="AE378" s="304"/>
    </row>
    <row r="379" spans="2:31" ht="12">
      <c r="B379" s="55"/>
      <c r="AB379" s="304"/>
      <c r="AC379" s="304"/>
      <c r="AD379" s="304"/>
      <c r="AE379" s="304"/>
    </row>
    <row r="380" spans="2:31" ht="12">
      <c r="B380" s="55"/>
      <c r="AB380" s="304"/>
      <c r="AC380" s="304"/>
      <c r="AD380" s="304"/>
      <c r="AE380" s="304"/>
    </row>
    <row r="381" spans="2:31" ht="12">
      <c r="B381" s="55"/>
      <c r="AB381" s="304"/>
      <c r="AC381" s="304"/>
      <c r="AD381" s="304"/>
      <c r="AE381" s="304"/>
    </row>
    <row r="382" spans="2:31" ht="12">
      <c r="B382" s="55"/>
      <c r="AB382" s="304"/>
      <c r="AC382" s="304"/>
      <c r="AD382" s="304"/>
      <c r="AE382" s="304"/>
    </row>
    <row r="383" spans="2:31" ht="12">
      <c r="B383" s="55"/>
      <c r="AB383" s="304"/>
      <c r="AC383" s="304"/>
      <c r="AD383" s="304"/>
      <c r="AE383" s="304"/>
    </row>
    <row r="384" spans="2:31" ht="12">
      <c r="B384" s="55"/>
      <c r="AB384" s="304"/>
      <c r="AC384" s="304"/>
      <c r="AD384" s="304"/>
      <c r="AE384" s="304"/>
    </row>
    <row r="385" spans="2:31" ht="12">
      <c r="B385" s="55"/>
      <c r="AB385" s="304"/>
      <c r="AC385" s="304"/>
      <c r="AD385" s="304"/>
      <c r="AE385" s="304"/>
    </row>
    <row r="386" spans="2:31" ht="12">
      <c r="B386" s="55"/>
      <c r="AB386" s="304"/>
      <c r="AC386" s="304"/>
      <c r="AD386" s="304"/>
      <c r="AE386" s="304"/>
    </row>
    <row r="387" spans="2:31" ht="12">
      <c r="B387" s="55"/>
      <c r="AB387" s="304"/>
      <c r="AC387" s="304"/>
      <c r="AD387" s="304"/>
      <c r="AE387" s="304"/>
    </row>
    <row r="388" spans="2:31" ht="12">
      <c r="B388" s="55"/>
      <c r="AB388" s="304"/>
      <c r="AC388" s="304"/>
      <c r="AD388" s="304"/>
      <c r="AE388" s="304"/>
    </row>
    <row r="389" spans="2:31" ht="12">
      <c r="B389" s="55"/>
      <c r="AB389" s="304"/>
      <c r="AC389" s="304"/>
      <c r="AD389" s="304"/>
      <c r="AE389" s="304"/>
    </row>
    <row r="390" spans="2:31" ht="12">
      <c r="B390" s="55"/>
      <c r="AB390" s="304"/>
      <c r="AC390" s="304"/>
      <c r="AD390" s="304"/>
      <c r="AE390" s="304"/>
    </row>
    <row r="391" spans="2:31" ht="12">
      <c r="B391" s="55"/>
      <c r="AB391" s="304"/>
      <c r="AC391" s="304"/>
      <c r="AD391" s="304"/>
      <c r="AE391" s="304"/>
    </row>
    <row r="392" spans="2:31" ht="12">
      <c r="B392" s="55"/>
      <c r="AB392" s="304"/>
      <c r="AC392" s="304"/>
      <c r="AD392" s="304"/>
      <c r="AE392" s="304"/>
    </row>
    <row r="393" spans="2:31" ht="12">
      <c r="B393" s="55"/>
      <c r="AB393" s="304"/>
      <c r="AC393" s="304"/>
      <c r="AD393" s="304"/>
      <c r="AE393" s="304"/>
    </row>
    <row r="394" spans="2:31" ht="12">
      <c r="B394" s="55"/>
      <c r="AB394" s="304"/>
      <c r="AC394" s="304"/>
      <c r="AD394" s="304"/>
      <c r="AE394" s="304"/>
    </row>
    <row r="395" spans="2:31" ht="12">
      <c r="B395" s="55"/>
      <c r="AB395" s="304"/>
      <c r="AC395" s="304"/>
      <c r="AD395" s="304"/>
      <c r="AE395" s="304"/>
    </row>
    <row r="396" spans="2:31" ht="12">
      <c r="B396" s="55"/>
      <c r="AB396" s="304"/>
      <c r="AC396" s="304"/>
      <c r="AD396" s="304"/>
      <c r="AE396" s="304"/>
    </row>
    <row r="397" spans="2:31" ht="12">
      <c r="B397" s="55"/>
      <c r="AB397" s="304"/>
      <c r="AC397" s="304"/>
      <c r="AD397" s="304"/>
      <c r="AE397" s="304"/>
    </row>
    <row r="398" spans="2:31" ht="12">
      <c r="B398" s="55"/>
      <c r="AB398" s="304"/>
      <c r="AC398" s="304"/>
      <c r="AD398" s="304"/>
      <c r="AE398" s="304"/>
    </row>
    <row r="399" spans="2:31" ht="12">
      <c r="B399" s="55"/>
      <c r="AB399" s="304"/>
      <c r="AC399" s="304"/>
      <c r="AD399" s="304"/>
      <c r="AE399" s="304"/>
    </row>
    <row r="400" spans="2:31" ht="12">
      <c r="B400" s="55"/>
      <c r="AB400" s="304"/>
      <c r="AC400" s="304"/>
      <c r="AD400" s="304"/>
      <c r="AE400" s="304"/>
    </row>
    <row r="401" spans="2:31" ht="12">
      <c r="B401" s="55"/>
      <c r="AB401" s="304"/>
      <c r="AC401" s="304"/>
      <c r="AD401" s="304"/>
      <c r="AE401" s="304"/>
    </row>
    <row r="402" spans="2:31" ht="12">
      <c r="B402" s="55"/>
      <c r="AB402" s="304"/>
      <c r="AC402" s="304"/>
      <c r="AD402" s="304"/>
      <c r="AE402" s="304"/>
    </row>
    <row r="403" spans="2:31" ht="12">
      <c r="B403" s="55"/>
      <c r="AB403" s="304"/>
      <c r="AC403" s="304"/>
      <c r="AD403" s="304"/>
      <c r="AE403" s="304"/>
    </row>
    <row r="404" spans="2:31" ht="12">
      <c r="B404" s="55"/>
      <c r="AB404" s="304"/>
      <c r="AC404" s="304"/>
      <c r="AD404" s="304"/>
      <c r="AE404" s="304"/>
    </row>
    <row r="405" spans="2:31" ht="12">
      <c r="B405" s="55"/>
      <c r="AB405" s="304"/>
      <c r="AC405" s="304"/>
      <c r="AD405" s="304"/>
      <c r="AE405" s="304"/>
    </row>
    <row r="406" spans="2:31" ht="12">
      <c r="B406" s="55"/>
      <c r="AB406" s="304"/>
      <c r="AC406" s="304"/>
      <c r="AD406" s="304"/>
      <c r="AE406" s="304"/>
    </row>
    <row r="407" spans="2:31" ht="12">
      <c r="B407" s="55"/>
      <c r="AB407" s="304"/>
      <c r="AC407" s="304"/>
      <c r="AD407" s="304"/>
      <c r="AE407" s="304"/>
    </row>
    <row r="408" spans="2:31" ht="12">
      <c r="B408" s="55"/>
      <c r="AB408" s="304"/>
      <c r="AC408" s="304"/>
      <c r="AD408" s="304"/>
      <c r="AE408" s="304"/>
    </row>
    <row r="409" spans="2:31" ht="12">
      <c r="B409" s="55"/>
      <c r="AB409" s="304"/>
      <c r="AC409" s="304"/>
      <c r="AD409" s="304"/>
      <c r="AE409" s="304"/>
    </row>
    <row r="410" spans="2:31" ht="12">
      <c r="B410" s="55"/>
      <c r="AB410" s="304"/>
      <c r="AC410" s="304"/>
      <c r="AD410" s="304"/>
      <c r="AE410" s="304"/>
    </row>
    <row r="411" spans="2:31" ht="12">
      <c r="B411" s="55"/>
      <c r="AB411" s="304"/>
      <c r="AC411" s="304"/>
      <c r="AD411" s="304"/>
      <c r="AE411" s="304"/>
    </row>
    <row r="412" spans="2:31" ht="12">
      <c r="B412" s="55"/>
      <c r="AB412" s="304"/>
      <c r="AC412" s="304"/>
      <c r="AD412" s="304"/>
      <c r="AE412" s="304"/>
    </row>
    <row r="413" spans="2:31" ht="12">
      <c r="B413" s="55"/>
      <c r="AB413" s="304"/>
      <c r="AC413" s="304"/>
      <c r="AD413" s="304"/>
      <c r="AE413" s="304"/>
    </row>
    <row r="414" spans="2:31" ht="12">
      <c r="B414" s="55"/>
      <c r="AB414" s="304"/>
      <c r="AC414" s="304"/>
      <c r="AD414" s="304"/>
      <c r="AE414" s="304"/>
    </row>
    <row r="415" spans="2:31" ht="12">
      <c r="B415" s="55"/>
      <c r="AB415" s="304"/>
      <c r="AC415" s="304"/>
      <c r="AD415" s="304"/>
      <c r="AE415" s="304"/>
    </row>
    <row r="416" spans="2:31" ht="12">
      <c r="B416" s="55"/>
      <c r="AB416" s="304"/>
      <c r="AC416" s="304"/>
      <c r="AD416" s="304"/>
      <c r="AE416" s="304"/>
    </row>
    <row r="417" spans="2:31" ht="12">
      <c r="B417" s="55"/>
      <c r="AB417" s="304"/>
      <c r="AC417" s="304"/>
      <c r="AD417" s="304"/>
      <c r="AE417" s="304"/>
    </row>
    <row r="418" spans="2:31" ht="12">
      <c r="B418" s="55"/>
      <c r="AB418" s="304"/>
      <c r="AC418" s="304"/>
      <c r="AD418" s="304"/>
      <c r="AE418" s="304"/>
    </row>
    <row r="419" spans="2:31" ht="12">
      <c r="B419" s="55"/>
      <c r="AB419" s="304"/>
      <c r="AC419" s="304"/>
      <c r="AD419" s="304"/>
      <c r="AE419" s="304"/>
    </row>
    <row r="420" spans="2:31" ht="12">
      <c r="B420" s="55"/>
      <c r="AB420" s="304"/>
      <c r="AC420" s="304"/>
      <c r="AD420" s="304"/>
      <c r="AE420" s="304"/>
    </row>
    <row r="421" spans="2:31" ht="12">
      <c r="B421" s="55"/>
      <c r="AB421" s="304"/>
      <c r="AC421" s="304"/>
      <c r="AD421" s="304"/>
      <c r="AE421" s="304"/>
    </row>
    <row r="422" spans="2:31" ht="12">
      <c r="B422" s="55"/>
      <c r="AB422" s="304"/>
      <c r="AC422" s="304"/>
      <c r="AD422" s="304"/>
      <c r="AE422" s="304"/>
    </row>
    <row r="423" spans="2:31" ht="12">
      <c r="B423" s="55"/>
      <c r="AB423" s="304"/>
      <c r="AC423" s="304"/>
      <c r="AD423" s="304"/>
      <c r="AE423" s="304"/>
    </row>
    <row r="424" spans="2:31" ht="12">
      <c r="B424" s="55"/>
      <c r="AB424" s="304"/>
      <c r="AC424" s="304"/>
      <c r="AD424" s="304"/>
      <c r="AE424" s="304"/>
    </row>
    <row r="425" spans="2:31" ht="12">
      <c r="B425" s="55"/>
      <c r="AB425" s="304"/>
      <c r="AC425" s="304"/>
      <c r="AD425" s="304"/>
      <c r="AE425" s="304"/>
    </row>
    <row r="426" spans="2:31" ht="12">
      <c r="B426" s="55"/>
      <c r="AB426" s="304"/>
      <c r="AC426" s="304"/>
      <c r="AD426" s="304"/>
      <c r="AE426" s="304"/>
    </row>
    <row r="427" spans="2:31" ht="12">
      <c r="B427" s="55"/>
      <c r="AB427" s="304"/>
      <c r="AC427" s="304"/>
      <c r="AD427" s="304"/>
      <c r="AE427" s="304"/>
    </row>
    <row r="428" spans="2:31" ht="12">
      <c r="B428" s="55"/>
      <c r="AB428" s="304"/>
      <c r="AC428" s="304"/>
      <c r="AD428" s="304"/>
      <c r="AE428" s="304"/>
    </row>
    <row r="429" spans="2:31" ht="12">
      <c r="B429" s="55"/>
      <c r="AB429" s="304"/>
      <c r="AC429" s="304"/>
      <c r="AD429" s="304"/>
      <c r="AE429" s="304"/>
    </row>
    <row r="430" spans="2:31" ht="12">
      <c r="B430" s="55"/>
      <c r="AB430" s="304"/>
      <c r="AC430" s="304"/>
      <c r="AD430" s="304"/>
      <c r="AE430" s="304"/>
    </row>
    <row r="431" spans="2:31" ht="12">
      <c r="B431" s="55"/>
      <c r="AB431" s="304"/>
      <c r="AC431" s="304"/>
      <c r="AD431" s="304"/>
      <c r="AE431" s="304"/>
    </row>
    <row r="432" spans="2:31" ht="12">
      <c r="B432" s="55"/>
      <c r="AB432" s="304"/>
      <c r="AC432" s="304"/>
      <c r="AD432" s="304"/>
      <c r="AE432" s="304"/>
    </row>
    <row r="433" spans="2:31" ht="12">
      <c r="B433" s="55"/>
      <c r="AB433" s="304"/>
      <c r="AC433" s="304"/>
      <c r="AD433" s="304"/>
      <c r="AE433" s="304"/>
    </row>
    <row r="434" spans="2:31" ht="12">
      <c r="B434" s="55"/>
      <c r="AB434" s="304"/>
      <c r="AC434" s="304"/>
      <c r="AD434" s="304"/>
      <c r="AE434" s="304"/>
    </row>
    <row r="435" spans="2:31" ht="12">
      <c r="B435" s="55"/>
      <c r="AB435" s="304"/>
      <c r="AC435" s="304"/>
      <c r="AD435" s="304"/>
      <c r="AE435" s="304"/>
    </row>
    <row r="436" spans="2:31" ht="12">
      <c r="B436" s="55"/>
      <c r="AB436" s="304"/>
      <c r="AC436" s="304"/>
      <c r="AD436" s="304"/>
      <c r="AE436" s="304"/>
    </row>
    <row r="437" spans="2:31" ht="12">
      <c r="B437" s="55"/>
      <c r="AB437" s="304"/>
      <c r="AC437" s="304"/>
      <c r="AD437" s="304"/>
      <c r="AE437" s="304"/>
    </row>
    <row r="438" spans="2:31" ht="12">
      <c r="B438" s="55"/>
      <c r="AB438" s="304"/>
      <c r="AC438" s="304"/>
      <c r="AD438" s="304"/>
      <c r="AE438" s="304"/>
    </row>
    <row r="439" spans="2:31" ht="12">
      <c r="B439" s="55"/>
      <c r="AB439" s="304"/>
      <c r="AC439" s="304"/>
      <c r="AD439" s="304"/>
      <c r="AE439" s="304"/>
    </row>
    <row r="440" spans="2:31" ht="12">
      <c r="B440" s="55"/>
      <c r="AB440" s="304"/>
      <c r="AC440" s="304"/>
      <c r="AD440" s="304"/>
      <c r="AE440" s="304"/>
    </row>
    <row r="441" spans="2:31" ht="12">
      <c r="B441" s="55"/>
      <c r="AB441" s="304"/>
      <c r="AC441" s="304"/>
      <c r="AD441" s="304"/>
      <c r="AE441" s="304"/>
    </row>
    <row r="442" spans="2:31" ht="12">
      <c r="B442" s="55"/>
      <c r="AB442" s="304"/>
      <c r="AC442" s="304"/>
      <c r="AD442" s="304"/>
      <c r="AE442" s="304"/>
    </row>
    <row r="443" spans="2:31" ht="12">
      <c r="B443" s="55"/>
      <c r="AB443" s="304"/>
      <c r="AC443" s="304"/>
      <c r="AD443" s="304"/>
      <c r="AE443" s="304"/>
    </row>
    <row r="444" spans="2:31" ht="12">
      <c r="B444" s="55"/>
      <c r="AB444" s="304"/>
      <c r="AC444" s="304"/>
      <c r="AD444" s="304"/>
      <c r="AE444" s="304"/>
    </row>
    <row r="445" spans="2:31" ht="12">
      <c r="B445" s="55"/>
      <c r="AB445" s="304"/>
      <c r="AC445" s="304"/>
      <c r="AD445" s="304"/>
      <c r="AE445" s="304"/>
    </row>
    <row r="446" spans="2:31" ht="12">
      <c r="B446" s="55"/>
      <c r="AB446" s="304"/>
      <c r="AC446" s="304"/>
      <c r="AD446" s="304"/>
      <c r="AE446" s="304"/>
    </row>
    <row r="447" spans="2:31" ht="12">
      <c r="B447" s="55"/>
      <c r="AB447" s="304"/>
      <c r="AC447" s="304"/>
      <c r="AD447" s="304"/>
      <c r="AE447" s="304"/>
    </row>
    <row r="448" spans="2:31" ht="12">
      <c r="B448" s="55"/>
      <c r="AB448" s="304"/>
      <c r="AC448" s="304"/>
      <c r="AD448" s="304"/>
      <c r="AE448" s="304"/>
    </row>
    <row r="449" spans="2:31" ht="12">
      <c r="B449" s="55"/>
      <c r="AB449" s="304"/>
      <c r="AC449" s="304"/>
      <c r="AD449" s="304"/>
      <c r="AE449" s="304"/>
    </row>
    <row r="450" spans="2:31" ht="12">
      <c r="B450" s="55"/>
      <c r="AB450" s="304"/>
      <c r="AC450" s="304"/>
      <c r="AD450" s="304"/>
      <c r="AE450" s="304"/>
    </row>
    <row r="451" spans="2:31" ht="12">
      <c r="B451" s="55"/>
      <c r="AB451" s="304"/>
      <c r="AC451" s="304"/>
      <c r="AD451" s="304"/>
      <c r="AE451" s="304"/>
    </row>
    <row r="452" spans="2:31" ht="12">
      <c r="B452" s="55"/>
      <c r="AB452" s="304"/>
      <c r="AC452" s="304"/>
      <c r="AD452" s="304"/>
      <c r="AE452" s="304"/>
    </row>
    <row r="453" spans="2:31" ht="12">
      <c r="B453" s="55"/>
      <c r="AB453" s="304"/>
      <c r="AC453" s="304"/>
      <c r="AD453" s="304"/>
      <c r="AE453" s="304"/>
    </row>
    <row r="454" spans="2:31" ht="12">
      <c r="B454" s="55"/>
      <c r="AB454" s="304"/>
      <c r="AC454" s="304"/>
      <c r="AD454" s="304"/>
      <c r="AE454" s="304"/>
    </row>
    <row r="455" spans="2:31" ht="12">
      <c r="B455" s="55"/>
      <c r="AB455" s="304"/>
      <c r="AC455" s="304"/>
      <c r="AD455" s="304"/>
      <c r="AE455" s="304"/>
    </row>
    <row r="456" spans="2:31" ht="12">
      <c r="B456" s="55"/>
      <c r="AB456" s="304"/>
      <c r="AC456" s="304"/>
      <c r="AD456" s="304"/>
      <c r="AE456" s="304"/>
    </row>
    <row r="457" spans="2:31" ht="12">
      <c r="B457" s="55"/>
      <c r="AB457" s="304"/>
      <c r="AC457" s="304"/>
      <c r="AD457" s="304"/>
      <c r="AE457" s="304"/>
    </row>
    <row r="458" spans="2:31" ht="12">
      <c r="B458" s="55"/>
      <c r="AB458" s="304"/>
      <c r="AC458" s="304"/>
      <c r="AD458" s="304"/>
      <c r="AE458" s="304"/>
    </row>
    <row r="459" spans="2:31" ht="12">
      <c r="B459" s="55"/>
      <c r="AB459" s="304"/>
      <c r="AC459" s="304"/>
      <c r="AD459" s="304"/>
      <c r="AE459" s="304"/>
    </row>
    <row r="460" spans="2:31" ht="12">
      <c r="B460" s="55"/>
      <c r="AB460" s="304"/>
      <c r="AC460" s="304"/>
      <c r="AD460" s="304"/>
      <c r="AE460" s="304"/>
    </row>
    <row r="461" spans="2:31" ht="12">
      <c r="B461" s="55"/>
      <c r="AB461" s="304"/>
      <c r="AC461" s="304"/>
      <c r="AD461" s="304"/>
      <c r="AE461" s="304"/>
    </row>
    <row r="462" spans="2:31" ht="12">
      <c r="B462" s="55"/>
      <c r="AB462" s="304"/>
      <c r="AC462" s="304"/>
      <c r="AD462" s="304"/>
      <c r="AE462" s="304"/>
    </row>
    <row r="463" spans="2:31" ht="12">
      <c r="B463" s="55"/>
      <c r="AB463" s="304"/>
      <c r="AC463" s="304"/>
      <c r="AD463" s="304"/>
      <c r="AE463" s="304"/>
    </row>
    <row r="464" spans="2:31" ht="12">
      <c r="B464" s="55"/>
      <c r="AB464" s="304"/>
      <c r="AC464" s="304"/>
      <c r="AD464" s="304"/>
      <c r="AE464" s="304"/>
    </row>
    <row r="465" spans="2:31" ht="12">
      <c r="B465" s="55"/>
      <c r="AB465" s="304"/>
      <c r="AC465" s="304"/>
      <c r="AD465" s="304"/>
      <c r="AE465" s="304"/>
    </row>
    <row r="466" spans="2:31" ht="12">
      <c r="B466" s="55"/>
      <c r="AB466" s="304"/>
      <c r="AC466" s="304"/>
      <c r="AD466" s="304"/>
      <c r="AE466" s="304"/>
    </row>
    <row r="467" spans="2:31" ht="12">
      <c r="B467" s="55"/>
      <c r="AB467" s="304"/>
      <c r="AC467" s="304"/>
      <c r="AD467" s="304"/>
      <c r="AE467" s="304"/>
    </row>
    <row r="468" spans="2:31" ht="12">
      <c r="B468" s="55"/>
      <c r="AB468" s="304"/>
      <c r="AC468" s="304"/>
      <c r="AD468" s="304"/>
      <c r="AE468" s="304"/>
    </row>
    <row r="469" spans="2:31" ht="12">
      <c r="B469" s="55"/>
      <c r="AB469" s="304"/>
      <c r="AC469" s="304"/>
      <c r="AD469" s="304"/>
      <c r="AE469" s="304"/>
    </row>
    <row r="470" spans="2:31" ht="12">
      <c r="B470" s="55"/>
      <c r="AB470" s="304"/>
      <c r="AC470" s="304"/>
      <c r="AD470" s="304"/>
      <c r="AE470" s="304"/>
    </row>
    <row r="471" spans="2:31" ht="12">
      <c r="B471" s="55"/>
      <c r="AB471" s="304"/>
      <c r="AC471" s="304"/>
      <c r="AD471" s="304"/>
      <c r="AE471" s="304"/>
    </row>
    <row r="472" spans="2:31" ht="12">
      <c r="B472" s="55"/>
      <c r="AB472" s="304"/>
      <c r="AC472" s="304"/>
      <c r="AD472" s="304"/>
      <c r="AE472" s="304"/>
    </row>
    <row r="473" spans="2:31" ht="12">
      <c r="B473" s="55"/>
      <c r="AB473" s="304"/>
      <c r="AC473" s="304"/>
      <c r="AD473" s="304"/>
      <c r="AE473" s="304"/>
    </row>
    <row r="474" spans="2:31" ht="12">
      <c r="B474" s="55"/>
      <c r="AB474" s="304"/>
      <c r="AC474" s="304"/>
      <c r="AD474" s="304"/>
      <c r="AE474" s="304"/>
    </row>
    <row r="475" spans="2:31" ht="12">
      <c r="B475" s="55"/>
      <c r="AB475" s="304"/>
      <c r="AC475" s="304"/>
      <c r="AD475" s="304"/>
      <c r="AE475" s="304"/>
    </row>
    <row r="476" spans="2:31" ht="12">
      <c r="B476" s="55"/>
      <c r="AB476" s="304"/>
      <c r="AC476" s="304"/>
      <c r="AD476" s="304"/>
      <c r="AE476" s="304"/>
    </row>
    <row r="477" spans="2:31" ht="12">
      <c r="B477" s="55"/>
      <c r="AB477" s="304"/>
      <c r="AC477" s="304"/>
      <c r="AD477" s="304"/>
      <c r="AE477" s="304"/>
    </row>
    <row r="478" spans="2:31" ht="12">
      <c r="B478" s="55"/>
      <c r="AB478" s="304"/>
      <c r="AC478" s="304"/>
      <c r="AD478" s="304"/>
      <c r="AE478" s="304"/>
    </row>
    <row r="479" spans="2:31" ht="12">
      <c r="B479" s="55"/>
      <c r="AB479" s="304"/>
      <c r="AC479" s="304"/>
      <c r="AD479" s="304"/>
      <c r="AE479" s="304"/>
    </row>
    <row r="480" spans="2:31" ht="12">
      <c r="B480" s="55"/>
      <c r="AB480" s="304"/>
      <c r="AC480" s="304"/>
      <c r="AD480" s="304"/>
      <c r="AE480" s="304"/>
    </row>
    <row r="481" spans="2:31" ht="12">
      <c r="B481" s="55"/>
      <c r="AB481" s="304"/>
      <c r="AC481" s="304"/>
      <c r="AD481" s="304"/>
      <c r="AE481" s="304"/>
    </row>
    <row r="482" spans="2:31" ht="12">
      <c r="B482" s="55"/>
      <c r="AB482" s="304"/>
      <c r="AC482" s="304"/>
      <c r="AD482" s="304"/>
      <c r="AE482" s="304"/>
    </row>
    <row r="483" spans="2:31" ht="12">
      <c r="B483" s="55"/>
      <c r="AB483" s="304"/>
      <c r="AC483" s="304"/>
      <c r="AD483" s="304"/>
      <c r="AE483" s="304"/>
    </row>
    <row r="484" spans="2:31" ht="12">
      <c r="B484" s="55"/>
      <c r="AB484" s="304"/>
      <c r="AC484" s="304"/>
      <c r="AD484" s="304"/>
      <c r="AE484" s="304"/>
    </row>
    <row r="485" spans="2:31" ht="12">
      <c r="B485" s="55"/>
      <c r="AB485" s="304"/>
      <c r="AC485" s="304"/>
      <c r="AD485" s="304"/>
      <c r="AE485" s="304"/>
    </row>
    <row r="486" spans="2:31" ht="12">
      <c r="B486" s="55"/>
      <c r="AB486" s="304"/>
      <c r="AC486" s="304"/>
      <c r="AD486" s="304"/>
      <c r="AE486" s="304"/>
    </row>
    <row r="487" spans="2:31" ht="12">
      <c r="B487" s="55"/>
      <c r="AB487" s="304"/>
      <c r="AC487" s="304"/>
      <c r="AD487" s="304"/>
      <c r="AE487" s="304"/>
    </row>
    <row r="488" spans="2:31" ht="12">
      <c r="B488" s="55"/>
      <c r="AB488" s="304"/>
      <c r="AC488" s="304"/>
      <c r="AD488" s="304"/>
      <c r="AE488" s="304"/>
    </row>
    <row r="489" spans="2:31" ht="12">
      <c r="B489" s="55"/>
      <c r="AB489" s="304"/>
      <c r="AC489" s="304"/>
      <c r="AD489" s="304"/>
      <c r="AE489" s="304"/>
    </row>
    <row r="490" spans="2:31" ht="12">
      <c r="B490" s="55"/>
      <c r="AB490" s="304"/>
      <c r="AC490" s="304"/>
      <c r="AD490" s="304"/>
      <c r="AE490" s="304"/>
    </row>
    <row r="491" spans="2:31" ht="12">
      <c r="B491" s="55"/>
      <c r="AB491" s="304"/>
      <c r="AC491" s="304"/>
      <c r="AD491" s="304"/>
      <c r="AE491" s="304"/>
    </row>
    <row r="492" spans="2:31" ht="12">
      <c r="B492" s="55"/>
      <c r="AB492" s="304"/>
      <c r="AC492" s="304"/>
      <c r="AD492" s="304"/>
      <c r="AE492" s="304"/>
    </row>
    <row r="493" spans="2:31" ht="12">
      <c r="B493" s="55"/>
      <c r="AB493" s="304"/>
      <c r="AC493" s="304"/>
      <c r="AD493" s="304"/>
      <c r="AE493" s="304"/>
    </row>
    <row r="494" spans="2:31" ht="12">
      <c r="B494" s="55"/>
      <c r="AB494" s="304"/>
      <c r="AC494" s="304"/>
      <c r="AD494" s="304"/>
      <c r="AE494" s="304"/>
    </row>
    <row r="495" spans="2:31" ht="12">
      <c r="B495" s="55"/>
      <c r="AB495" s="304"/>
      <c r="AC495" s="304"/>
      <c r="AD495" s="304"/>
      <c r="AE495" s="304"/>
    </row>
    <row r="496" spans="2:31" ht="12">
      <c r="B496" s="55"/>
      <c r="AB496" s="304"/>
      <c r="AC496" s="304"/>
      <c r="AD496" s="304"/>
      <c r="AE496" s="304"/>
    </row>
    <row r="497" spans="2:31" ht="12">
      <c r="B497" s="55"/>
      <c r="AB497" s="304"/>
      <c r="AC497" s="304"/>
      <c r="AD497" s="304"/>
      <c r="AE497" s="304"/>
    </row>
    <row r="498" spans="2:31" ht="12">
      <c r="B498" s="55"/>
      <c r="AB498" s="304"/>
      <c r="AC498" s="304"/>
      <c r="AD498" s="304"/>
      <c r="AE498" s="304"/>
    </row>
    <row r="499" spans="2:31" ht="12">
      <c r="B499" s="55"/>
      <c r="AB499" s="304"/>
      <c r="AC499" s="304"/>
      <c r="AD499" s="304"/>
      <c r="AE499" s="304"/>
    </row>
    <row r="500" spans="2:31" ht="12">
      <c r="B500" s="55"/>
      <c r="AB500" s="304"/>
      <c r="AC500" s="304"/>
      <c r="AD500" s="304"/>
      <c r="AE500" s="304"/>
    </row>
    <row r="501" spans="2:31" ht="12">
      <c r="B501" s="55"/>
      <c r="AB501" s="304"/>
      <c r="AC501" s="304"/>
      <c r="AD501" s="304"/>
      <c r="AE501" s="304"/>
    </row>
    <row r="502" spans="2:31" ht="12">
      <c r="B502" s="55"/>
      <c r="AB502" s="304"/>
      <c r="AC502" s="304"/>
      <c r="AD502" s="304"/>
      <c r="AE502" s="304"/>
    </row>
    <row r="503" spans="2:31" ht="12">
      <c r="B503" s="55"/>
      <c r="AB503" s="304"/>
      <c r="AC503" s="304"/>
      <c r="AD503" s="304"/>
      <c r="AE503" s="304"/>
    </row>
    <row r="504" spans="2:31" ht="12">
      <c r="B504" s="55"/>
      <c r="AB504" s="304"/>
      <c r="AC504" s="304"/>
      <c r="AD504" s="304"/>
      <c r="AE504" s="304"/>
    </row>
    <row r="505" spans="2:31" ht="12">
      <c r="B505" s="55"/>
      <c r="AB505" s="304"/>
      <c r="AC505" s="304"/>
      <c r="AD505" s="304"/>
      <c r="AE505" s="304"/>
    </row>
    <row r="506" spans="2:31" ht="12">
      <c r="B506" s="55"/>
      <c r="AB506" s="304"/>
      <c r="AC506" s="304"/>
      <c r="AD506" s="304"/>
      <c r="AE506" s="304"/>
    </row>
    <row r="507" spans="2:31" ht="12">
      <c r="B507" s="55"/>
      <c r="AB507" s="304"/>
      <c r="AC507" s="304"/>
      <c r="AD507" s="304"/>
      <c r="AE507" s="304"/>
    </row>
    <row r="508" spans="2:31" ht="12">
      <c r="B508" s="55"/>
      <c r="AB508" s="304"/>
      <c r="AC508" s="304"/>
      <c r="AD508" s="304"/>
      <c r="AE508" s="304"/>
    </row>
    <row r="509" spans="2:31" ht="12">
      <c r="B509" s="55"/>
      <c r="AB509" s="304"/>
      <c r="AC509" s="304"/>
      <c r="AD509" s="304"/>
      <c r="AE509" s="304"/>
    </row>
    <row r="510" spans="2:31" ht="12">
      <c r="B510" s="55"/>
      <c r="AB510" s="304"/>
      <c r="AC510" s="304"/>
      <c r="AD510" s="304"/>
      <c r="AE510" s="304"/>
    </row>
    <row r="511" spans="2:31" ht="12">
      <c r="B511" s="55"/>
      <c r="AB511" s="304"/>
      <c r="AC511" s="304"/>
      <c r="AD511" s="304"/>
      <c r="AE511" s="304"/>
    </row>
    <row r="512" spans="2:31" ht="12">
      <c r="B512" s="55"/>
      <c r="AB512" s="304"/>
      <c r="AC512" s="304"/>
      <c r="AD512" s="304"/>
      <c r="AE512" s="304"/>
    </row>
    <row r="513" spans="2:31" ht="12">
      <c r="B513" s="55"/>
      <c r="AB513" s="304"/>
      <c r="AC513" s="304"/>
      <c r="AD513" s="304"/>
      <c r="AE513" s="304"/>
    </row>
    <row r="514" spans="2:31" ht="12">
      <c r="B514" s="55"/>
      <c r="AB514" s="304"/>
      <c r="AC514" s="304"/>
      <c r="AD514" s="304"/>
      <c r="AE514" s="304"/>
    </row>
    <row r="515" spans="2:31" ht="12">
      <c r="B515" s="55"/>
      <c r="AB515" s="304"/>
      <c r="AC515" s="304"/>
      <c r="AD515" s="304"/>
      <c r="AE515" s="304"/>
    </row>
    <row r="516" spans="2:31" ht="12">
      <c r="B516" s="55"/>
      <c r="AB516" s="304"/>
      <c r="AC516" s="304"/>
      <c r="AD516" s="304"/>
      <c r="AE516" s="304"/>
    </row>
    <row r="517" spans="2:31" ht="12">
      <c r="B517" s="55"/>
      <c r="AB517" s="304"/>
      <c r="AC517" s="304"/>
      <c r="AD517" s="304"/>
      <c r="AE517" s="304"/>
    </row>
    <row r="518" spans="2:31" ht="12">
      <c r="B518" s="55"/>
      <c r="AB518" s="304"/>
      <c r="AC518" s="304"/>
      <c r="AD518" s="304"/>
      <c r="AE518" s="304"/>
    </row>
    <row r="519" spans="2:31" ht="12">
      <c r="B519" s="55"/>
      <c r="AB519" s="304"/>
      <c r="AC519" s="304"/>
      <c r="AD519" s="304"/>
      <c r="AE519" s="304"/>
    </row>
    <row r="520" spans="2:31" ht="12">
      <c r="B520" s="55"/>
      <c r="AB520" s="304"/>
      <c r="AC520" s="304"/>
      <c r="AD520" s="304"/>
      <c r="AE520" s="304"/>
    </row>
    <row r="521" spans="2:31" ht="12">
      <c r="B521" s="55"/>
      <c r="AB521" s="304"/>
      <c r="AC521" s="304"/>
      <c r="AD521" s="304"/>
      <c r="AE521" s="304"/>
    </row>
    <row r="522" spans="2:31" ht="12">
      <c r="B522" s="55"/>
      <c r="AB522" s="304"/>
      <c r="AC522" s="304"/>
      <c r="AD522" s="304"/>
      <c r="AE522" s="304"/>
    </row>
    <row r="523" spans="2:31" ht="12">
      <c r="B523" s="55"/>
      <c r="AB523" s="304"/>
      <c r="AC523" s="304"/>
      <c r="AD523" s="304"/>
      <c r="AE523" s="304"/>
    </row>
    <row r="524" spans="2:31" ht="12">
      <c r="B524" s="55"/>
      <c r="AB524" s="304"/>
      <c r="AC524" s="304"/>
      <c r="AD524" s="304"/>
      <c r="AE524" s="304"/>
    </row>
    <row r="525" spans="2:31" ht="12">
      <c r="B525" s="55"/>
      <c r="AB525" s="304"/>
      <c r="AC525" s="304"/>
      <c r="AD525" s="304"/>
      <c r="AE525" s="304"/>
    </row>
    <row r="526" spans="2:31" ht="12">
      <c r="B526" s="55"/>
      <c r="AB526" s="304"/>
      <c r="AC526" s="304"/>
      <c r="AD526" s="304"/>
      <c r="AE526" s="304"/>
    </row>
    <row r="527" spans="2:31" ht="12">
      <c r="B527" s="55"/>
      <c r="AB527" s="304"/>
      <c r="AC527" s="304"/>
      <c r="AD527" s="304"/>
      <c r="AE527" s="304"/>
    </row>
    <row r="528" spans="2:31" ht="12">
      <c r="B528" s="55"/>
      <c r="AB528" s="304"/>
      <c r="AC528" s="304"/>
      <c r="AD528" s="304"/>
      <c r="AE528" s="304"/>
    </row>
    <row r="529" spans="2:31" ht="12">
      <c r="B529" s="55"/>
      <c r="AB529" s="304"/>
      <c r="AC529" s="304"/>
      <c r="AD529" s="304"/>
      <c r="AE529" s="304"/>
    </row>
    <row r="530" spans="2:31" ht="12">
      <c r="B530" s="55"/>
      <c r="AB530" s="304"/>
      <c r="AC530" s="304"/>
      <c r="AD530" s="304"/>
      <c r="AE530" s="304"/>
    </row>
    <row r="531" spans="2:31" ht="12">
      <c r="B531" s="55"/>
      <c r="AB531" s="304"/>
      <c r="AC531" s="304"/>
      <c r="AD531" s="304"/>
      <c r="AE531" s="304"/>
    </row>
    <row r="532" spans="2:31" ht="12">
      <c r="B532" s="55"/>
      <c r="AB532" s="304"/>
      <c r="AC532" s="304"/>
      <c r="AD532" s="304"/>
      <c r="AE532" s="304"/>
    </row>
    <row r="533" spans="2:31" ht="12">
      <c r="B533" s="55"/>
      <c r="AB533" s="304"/>
      <c r="AC533" s="304"/>
      <c r="AD533" s="304"/>
      <c r="AE533" s="304"/>
    </row>
    <row r="534" spans="2:31" ht="12">
      <c r="B534" s="55"/>
      <c r="AB534" s="304"/>
      <c r="AC534" s="304"/>
      <c r="AD534" s="304"/>
      <c r="AE534" s="304"/>
    </row>
    <row r="535" spans="2:31" ht="12">
      <c r="B535" s="55"/>
      <c r="AB535" s="304"/>
      <c r="AC535" s="304"/>
      <c r="AD535" s="304"/>
      <c r="AE535" s="304"/>
    </row>
    <row r="536" spans="2:31" ht="12">
      <c r="B536" s="55"/>
      <c r="AB536" s="304"/>
      <c r="AC536" s="304"/>
      <c r="AD536" s="304"/>
      <c r="AE536" s="304"/>
    </row>
    <row r="537" spans="2:31" ht="12">
      <c r="B537" s="55"/>
      <c r="AB537" s="304"/>
      <c r="AC537" s="304"/>
      <c r="AD537" s="304"/>
      <c r="AE537" s="304"/>
    </row>
    <row r="538" spans="2:31" ht="12">
      <c r="B538" s="55"/>
      <c r="AB538" s="304"/>
      <c r="AC538" s="304"/>
      <c r="AD538" s="304"/>
      <c r="AE538" s="304"/>
    </row>
    <row r="539" spans="2:31" ht="12">
      <c r="B539" s="55"/>
      <c r="AB539" s="304"/>
      <c r="AC539" s="304"/>
      <c r="AD539" s="304"/>
      <c r="AE539" s="304"/>
    </row>
    <row r="540" spans="2:31" ht="12">
      <c r="B540" s="55"/>
      <c r="AB540" s="304"/>
      <c r="AC540" s="304"/>
      <c r="AD540" s="304"/>
      <c r="AE540" s="304"/>
    </row>
    <row r="541" spans="2:31" ht="12">
      <c r="B541" s="55"/>
      <c r="AB541" s="304"/>
      <c r="AC541" s="304"/>
      <c r="AD541" s="304"/>
      <c r="AE541" s="304"/>
    </row>
    <row r="542" spans="2:31" ht="12">
      <c r="B542" s="55"/>
      <c r="AB542" s="304"/>
      <c r="AC542" s="304"/>
      <c r="AD542" s="304"/>
      <c r="AE542" s="304"/>
    </row>
    <row r="543" spans="2:31" ht="12">
      <c r="B543" s="55"/>
      <c r="AB543" s="304"/>
      <c r="AC543" s="304"/>
      <c r="AD543" s="304"/>
      <c r="AE543" s="304"/>
    </row>
    <row r="544" spans="2:31" ht="12">
      <c r="B544" s="55"/>
      <c r="AB544" s="304"/>
      <c r="AC544" s="304"/>
      <c r="AD544" s="304"/>
      <c r="AE544" s="304"/>
    </row>
    <row r="545" spans="2:31" ht="12">
      <c r="B545" s="55"/>
      <c r="AB545" s="304"/>
      <c r="AC545" s="304"/>
      <c r="AD545" s="304"/>
      <c r="AE545" s="304"/>
    </row>
    <row r="546" spans="2:31" ht="12">
      <c r="B546" s="55"/>
      <c r="AB546" s="304"/>
      <c r="AC546" s="304"/>
      <c r="AD546" s="304"/>
      <c r="AE546" s="304"/>
    </row>
    <row r="547" spans="2:31" ht="12">
      <c r="B547" s="55"/>
      <c r="AB547" s="304"/>
      <c r="AC547" s="304"/>
      <c r="AD547" s="304"/>
      <c r="AE547" s="304"/>
    </row>
    <row r="548" spans="2:31" ht="12">
      <c r="B548" s="55"/>
      <c r="AB548" s="304"/>
      <c r="AC548" s="304"/>
      <c r="AD548" s="304"/>
      <c r="AE548" s="304"/>
    </row>
    <row r="549" spans="2:31" ht="12">
      <c r="B549" s="55"/>
      <c r="AB549" s="304"/>
      <c r="AC549" s="304"/>
      <c r="AD549" s="304"/>
      <c r="AE549" s="304"/>
    </row>
    <row r="550" spans="2:31" ht="12">
      <c r="B550" s="55"/>
      <c r="AB550" s="304"/>
      <c r="AC550" s="304"/>
      <c r="AD550" s="304"/>
      <c r="AE550" s="304"/>
    </row>
    <row r="551" spans="2:31" ht="12">
      <c r="B551" s="55"/>
      <c r="AB551" s="304"/>
      <c r="AC551" s="304"/>
      <c r="AD551" s="304"/>
      <c r="AE551" s="304"/>
    </row>
    <row r="552" spans="2:31" ht="12">
      <c r="B552" s="55"/>
      <c r="AB552" s="304"/>
      <c r="AC552" s="304"/>
      <c r="AD552" s="304"/>
      <c r="AE552" s="304"/>
    </row>
    <row r="553" spans="2:31" ht="12">
      <c r="B553" s="55"/>
      <c r="AB553" s="304"/>
      <c r="AC553" s="304"/>
      <c r="AD553" s="304"/>
      <c r="AE553" s="304"/>
    </row>
    <row r="554" spans="2:31" ht="12">
      <c r="B554" s="55"/>
      <c r="AB554" s="304"/>
      <c r="AC554" s="304"/>
      <c r="AD554" s="304"/>
      <c r="AE554" s="304"/>
    </row>
    <row r="555" spans="2:31" ht="12">
      <c r="B555" s="55"/>
      <c r="AB555" s="304"/>
      <c r="AC555" s="304"/>
      <c r="AD555" s="304"/>
      <c r="AE555" s="304"/>
    </row>
    <row r="556" spans="2:31" ht="12">
      <c r="B556" s="55"/>
      <c r="AB556" s="304"/>
      <c r="AC556" s="304"/>
      <c r="AD556" s="304"/>
      <c r="AE556" s="304"/>
    </row>
    <row r="557" spans="2:31" ht="12">
      <c r="B557" s="55"/>
      <c r="AB557" s="304"/>
      <c r="AC557" s="304"/>
      <c r="AD557" s="304"/>
      <c r="AE557" s="304"/>
    </row>
    <row r="558" spans="2:31" ht="12">
      <c r="B558" s="55"/>
      <c r="AB558" s="304"/>
      <c r="AC558" s="304"/>
      <c r="AD558" s="304"/>
      <c r="AE558" s="304"/>
    </row>
    <row r="559" spans="2:31" ht="12">
      <c r="B559" s="55"/>
      <c r="AB559" s="304"/>
      <c r="AC559" s="304"/>
      <c r="AD559" s="304"/>
      <c r="AE559" s="304"/>
    </row>
    <row r="560" spans="2:31" ht="12">
      <c r="B560" s="55"/>
      <c r="AB560" s="304"/>
      <c r="AC560" s="304"/>
      <c r="AD560" s="304"/>
      <c r="AE560" s="304"/>
    </row>
    <row r="561" spans="2:31" ht="12">
      <c r="B561" s="55"/>
      <c r="AB561" s="304"/>
      <c r="AC561" s="304"/>
      <c r="AD561" s="304"/>
      <c r="AE561" s="304"/>
    </row>
    <row r="562" spans="2:31" ht="12">
      <c r="B562" s="55"/>
      <c r="AB562" s="304"/>
      <c r="AC562" s="304"/>
      <c r="AD562" s="304"/>
      <c r="AE562" s="304"/>
    </row>
    <row r="563" spans="2:31" ht="12">
      <c r="B563" s="55"/>
      <c r="AB563" s="304"/>
      <c r="AC563" s="304"/>
      <c r="AD563" s="304"/>
      <c r="AE563" s="304"/>
    </row>
    <row r="564" spans="2:31" ht="12">
      <c r="B564" s="55"/>
      <c r="AB564" s="304"/>
      <c r="AC564" s="304"/>
      <c r="AD564" s="304"/>
      <c r="AE564" s="304"/>
    </row>
    <row r="565" spans="2:31" ht="12">
      <c r="B565" s="55"/>
      <c r="AB565" s="304"/>
      <c r="AC565" s="304"/>
      <c r="AD565" s="304"/>
      <c r="AE565" s="304"/>
    </row>
    <row r="566" spans="2:31" ht="12">
      <c r="B566" s="55"/>
      <c r="AB566" s="304"/>
      <c r="AC566" s="304"/>
      <c r="AD566" s="304"/>
      <c r="AE566" s="304"/>
    </row>
    <row r="567" spans="2:31" ht="12">
      <c r="B567" s="55"/>
      <c r="AB567" s="304"/>
      <c r="AC567" s="304"/>
      <c r="AD567" s="304"/>
      <c r="AE567" s="304"/>
    </row>
    <row r="568" spans="2:31" ht="12">
      <c r="B568" s="55"/>
      <c r="AB568" s="304"/>
      <c r="AC568" s="304"/>
      <c r="AD568" s="304"/>
      <c r="AE568" s="304"/>
    </row>
    <row r="569" spans="2:31" ht="12">
      <c r="B569" s="55"/>
      <c r="AB569" s="304"/>
      <c r="AC569" s="304"/>
      <c r="AD569" s="304"/>
      <c r="AE569" s="304"/>
    </row>
    <row r="570" spans="2:31" ht="12">
      <c r="B570" s="55"/>
      <c r="AB570" s="304"/>
      <c r="AC570" s="304"/>
      <c r="AD570" s="304"/>
      <c r="AE570" s="304"/>
    </row>
    <row r="571" spans="2:31" ht="12">
      <c r="B571" s="55"/>
      <c r="AB571" s="304"/>
      <c r="AC571" s="304"/>
      <c r="AD571" s="304"/>
      <c r="AE571" s="304"/>
    </row>
    <row r="572" spans="2:31" ht="12">
      <c r="B572" s="55"/>
      <c r="AB572" s="304"/>
      <c r="AC572" s="304"/>
      <c r="AD572" s="304"/>
      <c r="AE572" s="304"/>
    </row>
    <row r="573" spans="2:31" ht="12">
      <c r="B573" s="55"/>
      <c r="AB573" s="304"/>
      <c r="AC573" s="304"/>
      <c r="AD573" s="304"/>
      <c r="AE573" s="304"/>
    </row>
    <row r="574" spans="2:31" ht="12">
      <c r="B574" s="55"/>
      <c r="AB574" s="304"/>
      <c r="AC574" s="304"/>
      <c r="AD574" s="304"/>
      <c r="AE574" s="304"/>
    </row>
    <row r="575" spans="2:31" ht="12">
      <c r="B575" s="55"/>
      <c r="AB575" s="304"/>
      <c r="AC575" s="304"/>
      <c r="AD575" s="304"/>
      <c r="AE575" s="304"/>
    </row>
    <row r="576" spans="2:31" ht="12">
      <c r="B576" s="55"/>
      <c r="AB576" s="304"/>
      <c r="AC576" s="304"/>
      <c r="AD576" s="304"/>
      <c r="AE576" s="304"/>
    </row>
    <row r="577" spans="2:31" ht="12">
      <c r="B577" s="55"/>
      <c r="AB577" s="304"/>
      <c r="AC577" s="304"/>
      <c r="AD577" s="304"/>
      <c r="AE577" s="304"/>
    </row>
    <row r="578" spans="2:31" ht="12">
      <c r="B578" s="55"/>
      <c r="AB578" s="304"/>
      <c r="AC578" s="304"/>
      <c r="AD578" s="304"/>
      <c r="AE578" s="304"/>
    </row>
    <row r="579" spans="2:31" ht="12">
      <c r="B579" s="55"/>
      <c r="AB579" s="304"/>
      <c r="AC579" s="304"/>
      <c r="AD579" s="304"/>
      <c r="AE579" s="304"/>
    </row>
    <row r="580" spans="2:31" ht="12">
      <c r="B580" s="55"/>
      <c r="AB580" s="304"/>
      <c r="AC580" s="304"/>
      <c r="AD580" s="304"/>
      <c r="AE580" s="304"/>
    </row>
    <row r="581" spans="2:31" ht="12">
      <c r="B581" s="55"/>
      <c r="AB581" s="304"/>
      <c r="AC581" s="304"/>
      <c r="AD581" s="304"/>
      <c r="AE581" s="304"/>
    </row>
    <row r="582" spans="2:31" ht="12">
      <c r="B582" s="55"/>
      <c r="AB582" s="304"/>
      <c r="AC582" s="304"/>
      <c r="AD582" s="304"/>
      <c r="AE582" s="304"/>
    </row>
    <row r="583" spans="2:31" ht="12">
      <c r="B583" s="55"/>
      <c r="AB583" s="304"/>
      <c r="AC583" s="304"/>
      <c r="AD583" s="304"/>
      <c r="AE583" s="304"/>
    </row>
    <row r="584" spans="2:31" ht="12">
      <c r="B584" s="55"/>
      <c r="AB584" s="304"/>
      <c r="AC584" s="304"/>
      <c r="AD584" s="304"/>
      <c r="AE584" s="304"/>
    </row>
    <row r="585" spans="2:31" ht="12">
      <c r="B585" s="55"/>
      <c r="AB585" s="304"/>
      <c r="AC585" s="304"/>
      <c r="AD585" s="304"/>
      <c r="AE585" s="304"/>
    </row>
    <row r="586" spans="2:31" ht="12">
      <c r="B586" s="55"/>
      <c r="AB586" s="304"/>
      <c r="AC586" s="304"/>
      <c r="AD586" s="304"/>
      <c r="AE586" s="304"/>
    </row>
    <row r="587" spans="2:31" ht="12">
      <c r="B587" s="55"/>
      <c r="AB587" s="304"/>
      <c r="AC587" s="304"/>
      <c r="AD587" s="304"/>
      <c r="AE587" s="304"/>
    </row>
    <row r="588" spans="2:31" ht="12">
      <c r="B588" s="55"/>
      <c r="AB588" s="304"/>
      <c r="AC588" s="304"/>
      <c r="AD588" s="304"/>
      <c r="AE588" s="304"/>
    </row>
    <row r="589" spans="2:31" ht="12">
      <c r="B589" s="55"/>
      <c r="AB589" s="304"/>
      <c r="AC589" s="304"/>
      <c r="AD589" s="304"/>
      <c r="AE589" s="304"/>
    </row>
    <row r="590" spans="2:31" ht="12">
      <c r="B590" s="55"/>
      <c r="AB590" s="304"/>
      <c r="AC590" s="304"/>
      <c r="AD590" s="304"/>
      <c r="AE590" s="304"/>
    </row>
    <row r="591" spans="2:31" ht="12">
      <c r="B591" s="55"/>
      <c r="AB591" s="304"/>
      <c r="AC591" s="304"/>
      <c r="AD591" s="304"/>
      <c r="AE591" s="304"/>
    </row>
    <row r="592" spans="2:31" ht="12">
      <c r="B592" s="55"/>
      <c r="AB592" s="304"/>
      <c r="AC592" s="304"/>
      <c r="AD592" s="304"/>
      <c r="AE592" s="304"/>
    </row>
    <row r="593" spans="2:31" ht="12">
      <c r="B593" s="55"/>
      <c r="AB593" s="304"/>
      <c r="AC593" s="304"/>
      <c r="AD593" s="304"/>
      <c r="AE593" s="304"/>
    </row>
    <row r="594" spans="2:31" ht="12">
      <c r="B594" s="55"/>
      <c r="AB594" s="304"/>
      <c r="AC594" s="304"/>
      <c r="AD594" s="304"/>
      <c r="AE594" s="304"/>
    </row>
    <row r="595" spans="2:31" ht="12">
      <c r="B595" s="55"/>
      <c r="AB595" s="304"/>
      <c r="AC595" s="304"/>
      <c r="AD595" s="304"/>
      <c r="AE595" s="304"/>
    </row>
    <row r="596" spans="2:31" ht="12">
      <c r="B596" s="55"/>
      <c r="AB596" s="304"/>
      <c r="AC596" s="304"/>
      <c r="AD596" s="304"/>
      <c r="AE596" s="304"/>
    </row>
    <row r="597" spans="2:31" ht="12">
      <c r="B597" s="55"/>
      <c r="AB597" s="304"/>
      <c r="AC597" s="304"/>
      <c r="AD597" s="304"/>
      <c r="AE597" s="304"/>
    </row>
    <row r="598" spans="2:31" ht="12">
      <c r="B598" s="55"/>
      <c r="AB598" s="304"/>
      <c r="AC598" s="304"/>
      <c r="AD598" s="304"/>
      <c r="AE598" s="304"/>
    </row>
    <row r="599" spans="2:31" ht="12">
      <c r="B599" s="55"/>
      <c r="AB599" s="304"/>
      <c r="AC599" s="304"/>
      <c r="AD599" s="304"/>
      <c r="AE599" s="304"/>
    </row>
    <row r="600" spans="2:31" ht="12">
      <c r="B600" s="55"/>
      <c r="AB600" s="304"/>
      <c r="AC600" s="304"/>
      <c r="AD600" s="304"/>
      <c r="AE600" s="304"/>
    </row>
    <row r="601" spans="2:31" ht="12">
      <c r="B601" s="55"/>
      <c r="AB601" s="304"/>
      <c r="AC601" s="304"/>
      <c r="AD601" s="304"/>
      <c r="AE601" s="304"/>
    </row>
    <row r="602" spans="2:31" ht="12">
      <c r="B602" s="55"/>
      <c r="AB602" s="304"/>
      <c r="AC602" s="304"/>
      <c r="AD602" s="304"/>
      <c r="AE602" s="304"/>
    </row>
    <row r="603" spans="2:31" ht="12">
      <c r="B603" s="55"/>
      <c r="AB603" s="304"/>
      <c r="AC603" s="304"/>
      <c r="AD603" s="304"/>
      <c r="AE603" s="304"/>
    </row>
    <row r="604" spans="2:31" ht="12">
      <c r="B604" s="55"/>
      <c r="AB604" s="304"/>
      <c r="AC604" s="304"/>
      <c r="AD604" s="304"/>
      <c r="AE604" s="304"/>
    </row>
    <row r="605" spans="2:31" ht="12">
      <c r="B605" s="55"/>
      <c r="AB605" s="304"/>
      <c r="AC605" s="304"/>
      <c r="AD605" s="304"/>
      <c r="AE605" s="304"/>
    </row>
    <row r="606" spans="2:31" ht="12">
      <c r="B606" s="55"/>
      <c r="AB606" s="304"/>
      <c r="AC606" s="304"/>
      <c r="AD606" s="304"/>
      <c r="AE606" s="304"/>
    </row>
    <row r="607" spans="2:31" ht="12">
      <c r="B607" s="55"/>
      <c r="AB607" s="304"/>
      <c r="AC607" s="304"/>
      <c r="AD607" s="304"/>
      <c r="AE607" s="304"/>
    </row>
    <row r="608" spans="2:31" ht="12">
      <c r="B608" s="55"/>
      <c r="AB608" s="304"/>
      <c r="AC608" s="304"/>
      <c r="AD608" s="304"/>
      <c r="AE608" s="304"/>
    </row>
    <row r="609" spans="2:31" ht="12">
      <c r="B609" s="55"/>
      <c r="AB609" s="304"/>
      <c r="AC609" s="304"/>
      <c r="AD609" s="304"/>
      <c r="AE609" s="304"/>
    </row>
    <row r="610" spans="2:31" ht="12">
      <c r="B610" s="55"/>
      <c r="AB610" s="304"/>
      <c r="AC610" s="304"/>
      <c r="AD610" s="304"/>
      <c r="AE610" s="304"/>
    </row>
    <row r="611" spans="2:31" ht="12">
      <c r="B611" s="55"/>
      <c r="AB611" s="304"/>
      <c r="AC611" s="304"/>
      <c r="AD611" s="304"/>
      <c r="AE611" s="304"/>
    </row>
    <row r="612" spans="2:31" ht="12">
      <c r="B612" s="55"/>
      <c r="AB612" s="304"/>
      <c r="AC612" s="304"/>
      <c r="AD612" s="304"/>
      <c r="AE612" s="304"/>
    </row>
    <row r="613" spans="2:31" ht="12">
      <c r="B613" s="55"/>
      <c r="AB613" s="304"/>
      <c r="AC613" s="304"/>
      <c r="AD613" s="304"/>
      <c r="AE613" s="304"/>
    </row>
    <row r="614" spans="2:31" ht="12">
      <c r="B614" s="55"/>
      <c r="AB614" s="304"/>
      <c r="AC614" s="304"/>
      <c r="AD614" s="304"/>
      <c r="AE614" s="304"/>
    </row>
    <row r="615" spans="2:31" ht="12">
      <c r="B615" s="55"/>
      <c r="AB615" s="304"/>
      <c r="AC615" s="304"/>
      <c r="AD615" s="304"/>
      <c r="AE615" s="304"/>
    </row>
    <row r="616" spans="2:31" ht="12">
      <c r="B616" s="55"/>
      <c r="AB616" s="304"/>
      <c r="AC616" s="304"/>
      <c r="AD616" s="304"/>
      <c r="AE616" s="304"/>
    </row>
    <row r="617" spans="2:31" ht="12">
      <c r="B617" s="55"/>
      <c r="AB617" s="304"/>
      <c r="AC617" s="304"/>
      <c r="AD617" s="304"/>
      <c r="AE617" s="304"/>
    </row>
    <row r="618" spans="2:31" ht="12">
      <c r="B618" s="55"/>
      <c r="AB618" s="304"/>
      <c r="AC618" s="304"/>
      <c r="AD618" s="304"/>
      <c r="AE618" s="304"/>
    </row>
    <row r="619" spans="2:31" ht="12">
      <c r="B619" s="55"/>
      <c r="AB619" s="304"/>
      <c r="AC619" s="304"/>
      <c r="AD619" s="304"/>
      <c r="AE619" s="304"/>
    </row>
    <row r="620" spans="2:31" ht="12">
      <c r="B620" s="55"/>
      <c r="AB620" s="304"/>
      <c r="AC620" s="304"/>
      <c r="AD620" s="304"/>
      <c r="AE620" s="304"/>
    </row>
    <row r="621" spans="2:31" ht="12">
      <c r="B621" s="55"/>
      <c r="AB621" s="304"/>
      <c r="AC621" s="304"/>
      <c r="AD621" s="304"/>
      <c r="AE621" s="304"/>
    </row>
    <row r="622" spans="2:31" ht="12">
      <c r="B622" s="55"/>
      <c r="AB622" s="304"/>
      <c r="AC622" s="304"/>
      <c r="AD622" s="304"/>
      <c r="AE622" s="304"/>
    </row>
    <row r="623" spans="2:31" ht="12">
      <c r="B623" s="55"/>
      <c r="AB623" s="304"/>
      <c r="AC623" s="304"/>
      <c r="AD623" s="304"/>
      <c r="AE623" s="304"/>
    </row>
    <row r="624" spans="2:31" ht="12">
      <c r="B624" s="55"/>
      <c r="AB624" s="304"/>
      <c r="AC624" s="304"/>
      <c r="AD624" s="304"/>
      <c r="AE624" s="304"/>
    </row>
    <row r="625" spans="2:31" ht="12">
      <c r="B625" s="55"/>
      <c r="AB625" s="304"/>
      <c r="AC625" s="304"/>
      <c r="AD625" s="304"/>
      <c r="AE625" s="304"/>
    </row>
    <row r="626" spans="2:31" ht="12">
      <c r="B626" s="55"/>
      <c r="AB626" s="304"/>
      <c r="AC626" s="304"/>
      <c r="AD626" s="304"/>
      <c r="AE626" s="304"/>
    </row>
    <row r="627" spans="2:31" ht="12">
      <c r="B627" s="55"/>
      <c r="AB627" s="304"/>
      <c r="AC627" s="304"/>
      <c r="AD627" s="304"/>
      <c r="AE627" s="304"/>
    </row>
    <row r="628" spans="2:31" ht="12">
      <c r="B628" s="55"/>
      <c r="AB628" s="304"/>
      <c r="AC628" s="304"/>
      <c r="AD628" s="304"/>
      <c r="AE628" s="304"/>
    </row>
    <row r="629" spans="2:31" ht="12">
      <c r="B629" s="55"/>
      <c r="AB629" s="304"/>
      <c r="AC629" s="304"/>
      <c r="AD629" s="304"/>
      <c r="AE629" s="304"/>
    </row>
    <row r="630" spans="2:31" ht="12">
      <c r="B630" s="55"/>
      <c r="AB630" s="304"/>
      <c r="AC630" s="304"/>
      <c r="AD630" s="304"/>
      <c r="AE630" s="304"/>
    </row>
    <row r="631" spans="2:31" ht="12">
      <c r="B631" s="55"/>
      <c r="AB631" s="304"/>
      <c r="AC631" s="304"/>
      <c r="AD631" s="304"/>
      <c r="AE631" s="304"/>
    </row>
    <row r="632" spans="2:31" ht="12">
      <c r="B632" s="55"/>
      <c r="AB632" s="304"/>
      <c r="AC632" s="304"/>
      <c r="AD632" s="304"/>
      <c r="AE632" s="304"/>
    </row>
    <row r="633" spans="2:31" ht="12">
      <c r="B633" s="55"/>
      <c r="AB633" s="304"/>
      <c r="AC633" s="304"/>
      <c r="AD633" s="304"/>
      <c r="AE633" s="304"/>
    </row>
    <row r="634" spans="2:31" ht="12">
      <c r="B634" s="55"/>
      <c r="AB634" s="304"/>
      <c r="AC634" s="304"/>
      <c r="AD634" s="304"/>
      <c r="AE634" s="304"/>
    </row>
    <row r="635" spans="2:31" ht="12">
      <c r="B635" s="55"/>
      <c r="AB635" s="304"/>
      <c r="AC635" s="304"/>
      <c r="AD635" s="304"/>
      <c r="AE635" s="304"/>
    </row>
    <row r="636" spans="2:31" ht="12">
      <c r="B636" s="55"/>
      <c r="AB636" s="304"/>
      <c r="AC636" s="304"/>
      <c r="AD636" s="304"/>
      <c r="AE636" s="304"/>
    </row>
    <row r="637" spans="2:31" ht="12">
      <c r="B637" s="55"/>
      <c r="AB637" s="304"/>
      <c r="AC637" s="304"/>
      <c r="AD637" s="304"/>
      <c r="AE637" s="304"/>
    </row>
    <row r="638" spans="2:31" ht="12">
      <c r="B638" s="55"/>
      <c r="AB638" s="304"/>
      <c r="AC638" s="304"/>
      <c r="AD638" s="304"/>
      <c r="AE638" s="304"/>
    </row>
    <row r="639" spans="2:31" ht="12">
      <c r="B639" s="55"/>
      <c r="AB639" s="304"/>
      <c r="AC639" s="304"/>
      <c r="AD639" s="304"/>
      <c r="AE639" s="304"/>
    </row>
    <row r="640" spans="2:31" ht="12">
      <c r="B640" s="55"/>
      <c r="AB640" s="304"/>
      <c r="AC640" s="304"/>
      <c r="AD640" s="304"/>
      <c r="AE640" s="304"/>
    </row>
    <row r="641" spans="2:31" ht="12">
      <c r="B641" s="55"/>
      <c r="AB641" s="304"/>
      <c r="AC641" s="304"/>
      <c r="AD641" s="304"/>
      <c r="AE641" s="304"/>
    </row>
    <row r="642" spans="2:31" ht="12">
      <c r="B642" s="55"/>
      <c r="AB642" s="304"/>
      <c r="AC642" s="304"/>
      <c r="AD642" s="304"/>
      <c r="AE642" s="304"/>
    </row>
    <row r="643" spans="2:31" ht="12">
      <c r="B643" s="55"/>
      <c r="AB643" s="304"/>
      <c r="AC643" s="304"/>
      <c r="AD643" s="304"/>
      <c r="AE643" s="304"/>
    </row>
    <row r="644" spans="2:31" ht="12">
      <c r="B644" s="55"/>
      <c r="AB644" s="304"/>
      <c r="AC644" s="304"/>
      <c r="AD644" s="304"/>
      <c r="AE644" s="304"/>
    </row>
    <row r="645" spans="2:31" ht="12">
      <c r="B645" s="55"/>
      <c r="AB645" s="304"/>
      <c r="AC645" s="304"/>
      <c r="AD645" s="304"/>
      <c r="AE645" s="304"/>
    </row>
    <row r="646" spans="2:31" ht="12">
      <c r="B646" s="55"/>
      <c r="AB646" s="304"/>
      <c r="AC646" s="304"/>
      <c r="AD646" s="304"/>
      <c r="AE646" s="304"/>
    </row>
    <row r="647" spans="2:31" ht="12">
      <c r="B647" s="55"/>
      <c r="AB647" s="304"/>
      <c r="AC647" s="304"/>
      <c r="AD647" s="304"/>
      <c r="AE647" s="304"/>
    </row>
    <row r="648" spans="2:31" ht="12">
      <c r="B648" s="55"/>
      <c r="AB648" s="304"/>
      <c r="AC648" s="304"/>
      <c r="AD648" s="304"/>
      <c r="AE648" s="304"/>
    </row>
    <row r="649" spans="2:31" ht="12">
      <c r="B649" s="55"/>
      <c r="AB649" s="304"/>
      <c r="AC649" s="304"/>
      <c r="AD649" s="304"/>
      <c r="AE649" s="304"/>
    </row>
    <row r="650" spans="2:31" ht="12">
      <c r="B650" s="55"/>
      <c r="AB650" s="304"/>
      <c r="AC650" s="304"/>
      <c r="AD650" s="304"/>
      <c r="AE650" s="304"/>
    </row>
    <row r="651" spans="2:31" ht="12">
      <c r="B651" s="55"/>
      <c r="AB651" s="304"/>
      <c r="AC651" s="304"/>
      <c r="AD651" s="304"/>
      <c r="AE651" s="304"/>
    </row>
    <row r="652" spans="2:31" ht="12">
      <c r="B652" s="55"/>
      <c r="AB652" s="304"/>
      <c r="AC652" s="304"/>
      <c r="AD652" s="304"/>
      <c r="AE652" s="304"/>
    </row>
    <row r="653" spans="2:31" ht="12">
      <c r="B653" s="55"/>
      <c r="AB653" s="304"/>
      <c r="AC653" s="304"/>
      <c r="AD653" s="304"/>
      <c r="AE653" s="304"/>
    </row>
    <row r="654" spans="2:31" ht="12">
      <c r="B654" s="55"/>
      <c r="AB654" s="304"/>
      <c r="AC654" s="304"/>
      <c r="AD654" s="304"/>
      <c r="AE654" s="304"/>
    </row>
    <row r="655" spans="2:31" ht="12">
      <c r="B655" s="55"/>
      <c r="AB655" s="304"/>
      <c r="AC655" s="304"/>
      <c r="AD655" s="304"/>
      <c r="AE655" s="304"/>
    </row>
    <row r="656" spans="2:31" ht="12">
      <c r="B656" s="55"/>
      <c r="AB656" s="304"/>
      <c r="AC656" s="304"/>
      <c r="AD656" s="304"/>
      <c r="AE656" s="304"/>
    </row>
    <row r="657" spans="2:31" ht="12">
      <c r="B657" s="55"/>
      <c r="AB657" s="304"/>
      <c r="AC657" s="304"/>
      <c r="AD657" s="304"/>
      <c r="AE657" s="304"/>
    </row>
    <row r="658" spans="2:31" ht="12">
      <c r="B658" s="55"/>
      <c r="AB658" s="304"/>
      <c r="AC658" s="304"/>
      <c r="AD658" s="304"/>
      <c r="AE658" s="304"/>
    </row>
    <row r="659" spans="2:31" ht="12">
      <c r="B659" s="55"/>
      <c r="AB659" s="304"/>
      <c r="AC659" s="304"/>
      <c r="AD659" s="304"/>
      <c r="AE659" s="304"/>
    </row>
    <row r="660" spans="2:31" ht="12">
      <c r="B660" s="55"/>
      <c r="AB660" s="304"/>
      <c r="AC660" s="304"/>
      <c r="AD660" s="304"/>
      <c r="AE660" s="304"/>
    </row>
    <row r="661" spans="2:31" ht="12">
      <c r="B661" s="55"/>
      <c r="AB661" s="304"/>
      <c r="AC661" s="304"/>
      <c r="AD661" s="304"/>
      <c r="AE661" s="304"/>
    </row>
    <row r="662" spans="2:31" ht="12">
      <c r="B662" s="55"/>
      <c r="AB662" s="304"/>
      <c r="AC662" s="304"/>
      <c r="AD662" s="304"/>
      <c r="AE662" s="304"/>
    </row>
    <row r="663" spans="2:31" ht="12">
      <c r="B663" s="55"/>
      <c r="AB663" s="304"/>
      <c r="AC663" s="304"/>
      <c r="AD663" s="304"/>
      <c r="AE663" s="304"/>
    </row>
    <row r="664" spans="2:31" ht="12">
      <c r="B664" s="55"/>
      <c r="AB664" s="304"/>
      <c r="AC664" s="304"/>
      <c r="AD664" s="304"/>
      <c r="AE664" s="304"/>
    </row>
    <row r="665" spans="2:31" ht="12">
      <c r="B665" s="55"/>
      <c r="AB665" s="304"/>
      <c r="AC665" s="304"/>
      <c r="AD665" s="304"/>
      <c r="AE665" s="304"/>
    </row>
    <row r="666" spans="2:31" ht="12">
      <c r="B666" s="55"/>
      <c r="AB666" s="304"/>
      <c r="AC666" s="304"/>
      <c r="AD666" s="304"/>
      <c r="AE666" s="304"/>
    </row>
    <row r="667" spans="2:31" ht="12">
      <c r="B667" s="55"/>
      <c r="AB667" s="304"/>
      <c r="AC667" s="304"/>
      <c r="AD667" s="304"/>
      <c r="AE667" s="304"/>
    </row>
    <row r="668" spans="2:31" ht="12">
      <c r="B668" s="55"/>
      <c r="AB668" s="304"/>
      <c r="AC668" s="304"/>
      <c r="AD668" s="304"/>
      <c r="AE668" s="304"/>
    </row>
    <row r="669" spans="2:31" ht="12">
      <c r="B669" s="55"/>
      <c r="AB669" s="304"/>
      <c r="AC669" s="304"/>
      <c r="AD669" s="304"/>
      <c r="AE669" s="304"/>
    </row>
    <row r="670" spans="2:31" ht="12">
      <c r="B670" s="55"/>
      <c r="AB670" s="304"/>
      <c r="AC670" s="304"/>
      <c r="AD670" s="304"/>
      <c r="AE670" s="304"/>
    </row>
    <row r="671" spans="2:31" ht="12">
      <c r="B671" s="55"/>
      <c r="AB671" s="304"/>
      <c r="AC671" s="304"/>
      <c r="AD671" s="304"/>
      <c r="AE671" s="304"/>
    </row>
    <row r="672" spans="2:31" ht="12">
      <c r="B672" s="55"/>
      <c r="AB672" s="304"/>
      <c r="AC672" s="304"/>
      <c r="AD672" s="304"/>
      <c r="AE672" s="304"/>
    </row>
    <row r="673" spans="2:31" ht="12">
      <c r="B673" s="55"/>
      <c r="AB673" s="304"/>
      <c r="AC673" s="304"/>
      <c r="AD673" s="304"/>
      <c r="AE673" s="304"/>
    </row>
    <row r="674" spans="2:31" ht="12">
      <c r="B674" s="55"/>
      <c r="AB674" s="304"/>
      <c r="AC674" s="304"/>
      <c r="AD674" s="304"/>
      <c r="AE674" s="304"/>
    </row>
    <row r="675" spans="2:31" ht="12">
      <c r="B675" s="55"/>
      <c r="AB675" s="304"/>
      <c r="AC675" s="304"/>
      <c r="AD675" s="304"/>
      <c r="AE675" s="304"/>
    </row>
    <row r="676" spans="2:31" ht="12">
      <c r="B676" s="55"/>
      <c r="AB676" s="304"/>
      <c r="AC676" s="304"/>
      <c r="AD676" s="304"/>
      <c r="AE676" s="304"/>
    </row>
    <row r="677" spans="2:31" ht="12">
      <c r="B677" s="55"/>
      <c r="AB677" s="304"/>
      <c r="AC677" s="304"/>
      <c r="AD677" s="304"/>
      <c r="AE677" s="304"/>
    </row>
    <row r="678" spans="2:31" ht="12">
      <c r="B678" s="55"/>
      <c r="AB678" s="304"/>
      <c r="AC678" s="304"/>
      <c r="AD678" s="304"/>
      <c r="AE678" s="304"/>
    </row>
    <row r="679" spans="2:31" ht="12">
      <c r="B679" s="55"/>
      <c r="AB679" s="304"/>
      <c r="AC679" s="304"/>
      <c r="AD679" s="304"/>
      <c r="AE679" s="304"/>
    </row>
    <row r="680" spans="2:31" ht="12">
      <c r="B680" s="55"/>
      <c r="AB680" s="304"/>
      <c r="AC680" s="304"/>
      <c r="AD680" s="304"/>
      <c r="AE680" s="304"/>
    </row>
    <row r="681" spans="2:31" ht="12">
      <c r="B681" s="55"/>
      <c r="AB681" s="304"/>
      <c r="AC681" s="304"/>
      <c r="AD681" s="304"/>
      <c r="AE681" s="304"/>
    </row>
    <row r="682" spans="2:31" ht="12">
      <c r="B682" s="55"/>
      <c r="AB682" s="304"/>
      <c r="AC682" s="304"/>
      <c r="AD682" s="304"/>
      <c r="AE682" s="304"/>
    </row>
    <row r="683" spans="2:31" ht="12">
      <c r="B683" s="55"/>
      <c r="AB683" s="304"/>
      <c r="AC683" s="304"/>
      <c r="AD683" s="304"/>
      <c r="AE683" s="304"/>
    </row>
    <row r="684" spans="2:31" ht="12">
      <c r="B684" s="55"/>
      <c r="AB684" s="304"/>
      <c r="AC684" s="304"/>
      <c r="AD684" s="304"/>
      <c r="AE684" s="304"/>
    </row>
    <row r="685" spans="2:31" ht="12">
      <c r="B685" s="55"/>
      <c r="AB685" s="304"/>
      <c r="AC685" s="304"/>
      <c r="AD685" s="304"/>
      <c r="AE685" s="304"/>
    </row>
    <row r="686" spans="2:31" ht="12">
      <c r="B686" s="55"/>
      <c r="AB686" s="304"/>
      <c r="AC686" s="304"/>
      <c r="AD686" s="304"/>
      <c r="AE686" s="304"/>
    </row>
    <row r="687" spans="2:31" ht="12">
      <c r="B687" s="55"/>
      <c r="AB687" s="304"/>
      <c r="AC687" s="304"/>
      <c r="AD687" s="304"/>
      <c r="AE687" s="304"/>
    </row>
    <row r="688" spans="2:31" ht="12">
      <c r="B688" s="55"/>
      <c r="AB688" s="304"/>
      <c r="AC688" s="304"/>
      <c r="AD688" s="304"/>
      <c r="AE688" s="304"/>
    </row>
    <row r="689" spans="2:31" ht="12">
      <c r="B689" s="55"/>
      <c r="AB689" s="304"/>
      <c r="AC689" s="304"/>
      <c r="AD689" s="304"/>
      <c r="AE689" s="304"/>
    </row>
    <row r="690" spans="2:31" ht="12">
      <c r="B690" s="55"/>
      <c r="AB690" s="304"/>
      <c r="AC690" s="304"/>
      <c r="AD690" s="304"/>
      <c r="AE690" s="304"/>
    </row>
    <row r="691" spans="2:31" ht="12">
      <c r="B691" s="55"/>
      <c r="AB691" s="304"/>
      <c r="AC691" s="304"/>
      <c r="AD691" s="304"/>
      <c r="AE691" s="304"/>
    </row>
    <row r="692" spans="2:31" ht="12">
      <c r="B692" s="55"/>
      <c r="AB692" s="304"/>
      <c r="AC692" s="304"/>
      <c r="AD692" s="304"/>
      <c r="AE692" s="304"/>
    </row>
    <row r="693" spans="2:31" ht="12">
      <c r="B693" s="55"/>
      <c r="AB693" s="304"/>
      <c r="AC693" s="304"/>
      <c r="AD693" s="304"/>
      <c r="AE693" s="304"/>
    </row>
    <row r="694" spans="2:31" ht="12">
      <c r="B694" s="55"/>
      <c r="AB694" s="304"/>
      <c r="AC694" s="304"/>
      <c r="AD694" s="304"/>
      <c r="AE694" s="304"/>
    </row>
    <row r="695" spans="2:31" ht="12">
      <c r="B695" s="55"/>
      <c r="AB695" s="304"/>
      <c r="AC695" s="304"/>
      <c r="AD695" s="304"/>
      <c r="AE695" s="304"/>
    </row>
    <row r="696" spans="2:31" ht="12">
      <c r="B696" s="55"/>
      <c r="AB696" s="304"/>
      <c r="AC696" s="304"/>
      <c r="AD696" s="304"/>
      <c r="AE696" s="304"/>
    </row>
    <row r="697" spans="2:31" ht="12">
      <c r="B697" s="55"/>
      <c r="AB697" s="304"/>
      <c r="AC697" s="304"/>
      <c r="AD697" s="304"/>
      <c r="AE697" s="304"/>
    </row>
    <row r="698" spans="2:31" ht="12">
      <c r="B698" s="55"/>
      <c r="AB698" s="304"/>
      <c r="AC698" s="304"/>
      <c r="AD698" s="304"/>
      <c r="AE698" s="304"/>
    </row>
    <row r="699" spans="2:31" ht="12">
      <c r="B699" s="55"/>
      <c r="AB699" s="304"/>
      <c r="AC699" s="304"/>
      <c r="AD699" s="304"/>
      <c r="AE699" s="304"/>
    </row>
    <row r="700" spans="2:31" ht="12">
      <c r="B700" s="55"/>
      <c r="AB700" s="304"/>
      <c r="AC700" s="304"/>
      <c r="AD700" s="304"/>
      <c r="AE700" s="304"/>
    </row>
    <row r="701" spans="2:31" ht="12">
      <c r="B701" s="55"/>
      <c r="AB701" s="304"/>
      <c r="AC701" s="304"/>
      <c r="AD701" s="304"/>
      <c r="AE701" s="304"/>
    </row>
    <row r="702" spans="2:31" ht="12">
      <c r="B702" s="55"/>
      <c r="AB702" s="304"/>
      <c r="AC702" s="304"/>
      <c r="AD702" s="304"/>
      <c r="AE702" s="304"/>
    </row>
    <row r="703" spans="2:31" ht="12">
      <c r="B703" s="55"/>
      <c r="AB703" s="304"/>
      <c r="AC703" s="304"/>
      <c r="AD703" s="304"/>
      <c r="AE703" s="304"/>
    </row>
    <row r="704" spans="2:31" ht="12">
      <c r="B704" s="55"/>
      <c r="AB704" s="304"/>
      <c r="AC704" s="304"/>
      <c r="AD704" s="304"/>
      <c r="AE704" s="304"/>
    </row>
    <row r="705" spans="2:31" ht="12">
      <c r="B705" s="55"/>
      <c r="AB705" s="304"/>
      <c r="AC705" s="304"/>
      <c r="AD705" s="304"/>
      <c r="AE705" s="304"/>
    </row>
    <row r="706" spans="2:31" ht="12">
      <c r="B706" s="55"/>
      <c r="AB706" s="304"/>
      <c r="AC706" s="304"/>
      <c r="AD706" s="304"/>
      <c r="AE706" s="304"/>
    </row>
    <row r="707" spans="2:31" ht="12">
      <c r="B707" s="55"/>
      <c r="AB707" s="304"/>
      <c r="AC707" s="304"/>
      <c r="AD707" s="304"/>
      <c r="AE707" s="304"/>
    </row>
    <row r="708" spans="2:31" ht="12">
      <c r="B708" s="55"/>
      <c r="AB708" s="304"/>
      <c r="AC708" s="304"/>
      <c r="AD708" s="304"/>
      <c r="AE708" s="304"/>
    </row>
    <row r="709" spans="2:31" ht="12">
      <c r="B709" s="55"/>
      <c r="AB709" s="304"/>
      <c r="AC709" s="304"/>
      <c r="AD709" s="304"/>
      <c r="AE709" s="304"/>
    </row>
    <row r="710" spans="2:31" ht="12">
      <c r="B710" s="55"/>
      <c r="AB710" s="304"/>
      <c r="AC710" s="304"/>
      <c r="AD710" s="304"/>
      <c r="AE710" s="304"/>
    </row>
    <row r="711" spans="2:31" ht="12">
      <c r="B711" s="55"/>
      <c r="AB711" s="304"/>
      <c r="AC711" s="304"/>
      <c r="AD711" s="304"/>
      <c r="AE711" s="304"/>
    </row>
    <row r="712" spans="2:31" ht="12">
      <c r="B712" s="55"/>
      <c r="AB712" s="304"/>
      <c r="AC712" s="304"/>
      <c r="AD712" s="304"/>
      <c r="AE712" s="304"/>
    </row>
    <row r="713" spans="2:31" ht="12">
      <c r="B713" s="55"/>
      <c r="AB713" s="304"/>
      <c r="AC713" s="304"/>
      <c r="AD713" s="304"/>
      <c r="AE713" s="304"/>
    </row>
    <row r="714" spans="2:31" ht="12">
      <c r="B714" s="55"/>
      <c r="AB714" s="304"/>
      <c r="AC714" s="304"/>
      <c r="AD714" s="304"/>
      <c r="AE714" s="304"/>
    </row>
    <row r="715" spans="2:31" ht="12">
      <c r="B715" s="55"/>
      <c r="AB715" s="304"/>
      <c r="AC715" s="304"/>
      <c r="AD715" s="304"/>
      <c r="AE715" s="304"/>
    </row>
    <row r="716" spans="2:31" ht="12">
      <c r="B716" s="55"/>
      <c r="AB716" s="304"/>
      <c r="AC716" s="304"/>
      <c r="AD716" s="304"/>
      <c r="AE716" s="304"/>
    </row>
    <row r="717" spans="2:31" ht="12">
      <c r="B717" s="55"/>
      <c r="AB717" s="304"/>
      <c r="AC717" s="304"/>
      <c r="AD717" s="304"/>
      <c r="AE717" s="304"/>
    </row>
    <row r="718" spans="2:31" ht="12">
      <c r="B718" s="55"/>
      <c r="AB718" s="304"/>
      <c r="AC718" s="304"/>
      <c r="AD718" s="304"/>
      <c r="AE718" s="304"/>
    </row>
    <row r="719" spans="2:31" ht="12">
      <c r="B719" s="55"/>
      <c r="AB719" s="304"/>
      <c r="AC719" s="304"/>
      <c r="AD719" s="304"/>
      <c r="AE719" s="304"/>
    </row>
    <row r="720" spans="2:31" ht="12">
      <c r="B720" s="55"/>
      <c r="AB720" s="304"/>
      <c r="AC720" s="304"/>
      <c r="AD720" s="304"/>
      <c r="AE720" s="304"/>
    </row>
    <row r="721" spans="2:31" ht="12">
      <c r="B721" s="55"/>
      <c r="AB721" s="304"/>
      <c r="AC721" s="304"/>
      <c r="AD721" s="304"/>
      <c r="AE721" s="304"/>
    </row>
    <row r="722" spans="2:31" ht="12">
      <c r="B722" s="55"/>
      <c r="AB722" s="304"/>
      <c r="AC722" s="304"/>
      <c r="AD722" s="304"/>
      <c r="AE722" s="304"/>
    </row>
    <row r="723" spans="2:31" ht="12">
      <c r="B723" s="55"/>
      <c r="AB723" s="304"/>
      <c r="AC723" s="304"/>
      <c r="AD723" s="304"/>
      <c r="AE723" s="304"/>
    </row>
    <row r="724" spans="2:31" ht="12">
      <c r="B724" s="55"/>
      <c r="AB724" s="304"/>
      <c r="AC724" s="304"/>
      <c r="AD724" s="304"/>
      <c r="AE724" s="304"/>
    </row>
    <row r="725" spans="2:31" ht="12">
      <c r="B725" s="55"/>
      <c r="AB725" s="304"/>
      <c r="AC725" s="304"/>
      <c r="AD725" s="304"/>
      <c r="AE725" s="304"/>
    </row>
    <row r="726" spans="2:31" ht="12">
      <c r="B726" s="55"/>
      <c r="AB726" s="304"/>
      <c r="AC726" s="304"/>
      <c r="AD726" s="304"/>
      <c r="AE726" s="304"/>
    </row>
    <row r="727" spans="2:31" ht="12">
      <c r="B727" s="55"/>
      <c r="AB727" s="304"/>
      <c r="AC727" s="304"/>
      <c r="AD727" s="304"/>
      <c r="AE727" s="304"/>
    </row>
    <row r="728" spans="2:31" ht="12">
      <c r="B728" s="55"/>
      <c r="AB728" s="304"/>
      <c r="AC728" s="304"/>
      <c r="AD728" s="304"/>
      <c r="AE728" s="304"/>
    </row>
    <row r="729" spans="2:31" ht="12">
      <c r="B729" s="55"/>
      <c r="AB729" s="304"/>
      <c r="AC729" s="304"/>
      <c r="AD729" s="304"/>
      <c r="AE729" s="304"/>
    </row>
    <row r="730" spans="2:31" ht="12">
      <c r="B730" s="55"/>
      <c r="AB730" s="304"/>
      <c r="AC730" s="304"/>
      <c r="AD730" s="304"/>
      <c r="AE730" s="304"/>
    </row>
    <row r="731" spans="2:31" ht="12">
      <c r="B731" s="55"/>
      <c r="AB731" s="304"/>
      <c r="AC731" s="304"/>
      <c r="AD731" s="304"/>
      <c r="AE731" s="304"/>
    </row>
    <row r="732" spans="2:31" ht="12">
      <c r="B732" s="55"/>
      <c r="AB732" s="304"/>
      <c r="AC732" s="304"/>
      <c r="AD732" s="304"/>
      <c r="AE732" s="304"/>
    </row>
    <row r="733" spans="2:31" ht="12">
      <c r="B733" s="55"/>
      <c r="AB733" s="304"/>
      <c r="AC733" s="304"/>
      <c r="AD733" s="304"/>
      <c r="AE733" s="304"/>
    </row>
    <row r="734" spans="2:31" ht="12">
      <c r="B734" s="55"/>
      <c r="AB734" s="304"/>
      <c r="AC734" s="304"/>
      <c r="AD734" s="304"/>
      <c r="AE734" s="304"/>
    </row>
    <row r="735" spans="2:31" ht="12">
      <c r="B735" s="55"/>
      <c r="AB735" s="304"/>
      <c r="AC735" s="304"/>
      <c r="AD735" s="304"/>
      <c r="AE735" s="304"/>
    </row>
    <row r="736" spans="2:31" ht="12">
      <c r="B736" s="55"/>
      <c r="AB736" s="304"/>
      <c r="AC736" s="304"/>
      <c r="AD736" s="304"/>
      <c r="AE736" s="304"/>
    </row>
    <row r="737" spans="2:31" ht="12">
      <c r="B737" s="55"/>
      <c r="AB737" s="304"/>
      <c r="AC737" s="304"/>
      <c r="AD737" s="304"/>
      <c r="AE737" s="304"/>
    </row>
    <row r="738" spans="2:31" ht="12">
      <c r="B738" s="55"/>
      <c r="AB738" s="304"/>
      <c r="AC738" s="304"/>
      <c r="AD738" s="304"/>
      <c r="AE738" s="304"/>
    </row>
    <row r="739" spans="2:31" ht="12">
      <c r="B739" s="55"/>
      <c r="AB739" s="304"/>
      <c r="AC739" s="304"/>
      <c r="AD739" s="304"/>
      <c r="AE739" s="304"/>
    </row>
    <row r="740" spans="2:31" ht="12">
      <c r="B740" s="55"/>
      <c r="AB740" s="304"/>
      <c r="AC740" s="304"/>
      <c r="AD740" s="304"/>
      <c r="AE740" s="304"/>
    </row>
    <row r="741" spans="2:31" ht="12">
      <c r="B741" s="55"/>
      <c r="AB741" s="304"/>
      <c r="AC741" s="304"/>
      <c r="AD741" s="304"/>
      <c r="AE741" s="304"/>
    </row>
    <row r="742" spans="2:31" ht="12">
      <c r="B742" s="55"/>
      <c r="AB742" s="304"/>
      <c r="AC742" s="304"/>
      <c r="AD742" s="304"/>
      <c r="AE742" s="304"/>
    </row>
    <row r="743" spans="2:31" ht="12">
      <c r="B743" s="55"/>
      <c r="AB743" s="304"/>
      <c r="AC743" s="304"/>
      <c r="AD743" s="304"/>
      <c r="AE743" s="304"/>
    </row>
    <row r="744" spans="2:31" ht="12">
      <c r="B744" s="55"/>
      <c r="AB744" s="304"/>
      <c r="AC744" s="304"/>
      <c r="AD744" s="304"/>
      <c r="AE744" s="304"/>
    </row>
    <row r="745" spans="2:31" ht="12">
      <c r="B745" s="55"/>
      <c r="AB745" s="304"/>
      <c r="AC745" s="304"/>
      <c r="AD745" s="304"/>
      <c r="AE745" s="304"/>
    </row>
    <row r="746" spans="2:31" ht="12">
      <c r="B746" s="55"/>
      <c r="AB746" s="304"/>
      <c r="AC746" s="304"/>
      <c r="AD746" s="304"/>
      <c r="AE746" s="304"/>
    </row>
    <row r="747" spans="2:31" ht="12">
      <c r="B747" s="55"/>
      <c r="AB747" s="304"/>
      <c r="AC747" s="304"/>
      <c r="AD747" s="304"/>
      <c r="AE747" s="304"/>
    </row>
    <row r="748" spans="2:31" ht="12">
      <c r="B748" s="55"/>
      <c r="AB748" s="304"/>
      <c r="AC748" s="304"/>
      <c r="AD748" s="304"/>
      <c r="AE748" s="304"/>
    </row>
    <row r="749" spans="2:31" ht="12">
      <c r="B749" s="55"/>
      <c r="AB749" s="304"/>
      <c r="AC749" s="304"/>
      <c r="AD749" s="304"/>
      <c r="AE749" s="304"/>
    </row>
    <row r="750" spans="2:31" ht="12">
      <c r="B750" s="55"/>
      <c r="AB750" s="304"/>
      <c r="AC750" s="304"/>
      <c r="AD750" s="304"/>
      <c r="AE750" s="304"/>
    </row>
    <row r="751" spans="2:31" ht="12">
      <c r="B751" s="55"/>
      <c r="AB751" s="304"/>
      <c r="AC751" s="304"/>
      <c r="AD751" s="304"/>
      <c r="AE751" s="304"/>
    </row>
    <row r="752" spans="2:31" ht="12">
      <c r="B752" s="55"/>
      <c r="AB752" s="304"/>
      <c r="AC752" s="304"/>
      <c r="AD752" s="304"/>
      <c r="AE752" s="304"/>
    </row>
    <row r="753" spans="2:31" ht="12">
      <c r="B753" s="55"/>
      <c r="AB753" s="304"/>
      <c r="AC753" s="304"/>
      <c r="AD753" s="304"/>
      <c r="AE753" s="304"/>
    </row>
    <row r="754" spans="2:31" ht="12">
      <c r="B754" s="55"/>
      <c r="AB754" s="304"/>
      <c r="AC754" s="304"/>
      <c r="AD754" s="304"/>
      <c r="AE754" s="304"/>
    </row>
    <row r="755" spans="2:31" ht="12">
      <c r="B755" s="55"/>
      <c r="AB755" s="304"/>
      <c r="AC755" s="304"/>
      <c r="AD755" s="304"/>
      <c r="AE755" s="304"/>
    </row>
    <row r="756" spans="2:31" ht="12">
      <c r="B756" s="55"/>
      <c r="AB756" s="304"/>
      <c r="AC756" s="304"/>
      <c r="AD756" s="304"/>
      <c r="AE756" s="304"/>
    </row>
    <row r="757" spans="2:31" ht="12">
      <c r="B757" s="55"/>
      <c r="AB757" s="304"/>
      <c r="AC757" s="304"/>
      <c r="AD757" s="304"/>
      <c r="AE757" s="304"/>
    </row>
    <row r="758" spans="2:31" ht="12">
      <c r="B758" s="55"/>
      <c r="AB758" s="304"/>
      <c r="AC758" s="304"/>
      <c r="AD758" s="304"/>
      <c r="AE758" s="304"/>
    </row>
    <row r="759" spans="2:31" ht="12">
      <c r="B759" s="55"/>
      <c r="AB759" s="304"/>
      <c r="AC759" s="304"/>
      <c r="AD759" s="304"/>
      <c r="AE759" s="304"/>
    </row>
    <row r="760" spans="2:31" ht="12">
      <c r="B760" s="55"/>
      <c r="AB760" s="304"/>
      <c r="AC760" s="304"/>
      <c r="AD760" s="304"/>
      <c r="AE760" s="304"/>
    </row>
    <row r="761" spans="2:31" ht="12">
      <c r="B761" s="55"/>
      <c r="AB761" s="304"/>
      <c r="AC761" s="304"/>
      <c r="AD761" s="304"/>
      <c r="AE761" s="304"/>
    </row>
    <row r="762" spans="2:31" ht="12">
      <c r="B762" s="55"/>
      <c r="AB762" s="304"/>
      <c r="AC762" s="304"/>
      <c r="AD762" s="304"/>
      <c r="AE762" s="304"/>
    </row>
    <row r="763" spans="2:31" ht="12">
      <c r="B763" s="55"/>
      <c r="AB763" s="304"/>
      <c r="AC763" s="304"/>
      <c r="AD763" s="304"/>
      <c r="AE763" s="304"/>
    </row>
    <row r="764" spans="2:31" ht="12">
      <c r="B764" s="55"/>
      <c r="AB764" s="304"/>
      <c r="AC764" s="304"/>
      <c r="AD764" s="304"/>
      <c r="AE764" s="304"/>
    </row>
    <row r="765" spans="2:31" ht="12">
      <c r="B765" s="55"/>
      <c r="AB765" s="304"/>
      <c r="AC765" s="304"/>
      <c r="AD765" s="304"/>
      <c r="AE765" s="304"/>
    </row>
    <row r="766" spans="2:31" ht="12">
      <c r="B766" s="55"/>
      <c r="AB766" s="304"/>
      <c r="AC766" s="304"/>
      <c r="AD766" s="304"/>
      <c r="AE766" s="304"/>
    </row>
    <row r="767" spans="2:31" ht="12">
      <c r="B767" s="55"/>
      <c r="AB767" s="304"/>
      <c r="AC767" s="304"/>
      <c r="AD767" s="304"/>
      <c r="AE767" s="304"/>
    </row>
    <row r="768" spans="2:31" ht="12">
      <c r="B768" s="55"/>
      <c r="AB768" s="304"/>
      <c r="AC768" s="304"/>
      <c r="AD768" s="304"/>
      <c r="AE768" s="304"/>
    </row>
    <row r="769" spans="2:31" ht="12">
      <c r="B769" s="55"/>
      <c r="AB769" s="304"/>
      <c r="AC769" s="304"/>
      <c r="AD769" s="304"/>
      <c r="AE769" s="304"/>
    </row>
    <row r="770" spans="2:31" ht="12">
      <c r="B770" s="55"/>
      <c r="AB770" s="304"/>
      <c r="AC770" s="304"/>
      <c r="AD770" s="304"/>
      <c r="AE770" s="304"/>
    </row>
    <row r="771" spans="2:31" ht="12">
      <c r="B771" s="55"/>
      <c r="AB771" s="304"/>
      <c r="AC771" s="304"/>
      <c r="AD771" s="304"/>
      <c r="AE771" s="304"/>
    </row>
    <row r="772" spans="2:31" ht="12">
      <c r="B772" s="55"/>
      <c r="AB772" s="304"/>
      <c r="AC772" s="304"/>
      <c r="AD772" s="304"/>
      <c r="AE772" s="304"/>
    </row>
    <row r="773" spans="2:31" ht="12">
      <c r="B773" s="55"/>
      <c r="AB773" s="304"/>
      <c r="AC773" s="304"/>
      <c r="AD773" s="304"/>
      <c r="AE773" s="304"/>
    </row>
    <row r="774" spans="2:31" ht="12">
      <c r="B774" s="55"/>
      <c r="AB774" s="304"/>
      <c r="AC774" s="304"/>
      <c r="AD774" s="304"/>
      <c r="AE774" s="304"/>
    </row>
    <row r="775" spans="2:31" ht="12">
      <c r="B775" s="55"/>
      <c r="AB775" s="304"/>
      <c r="AC775" s="304"/>
      <c r="AD775" s="304"/>
      <c r="AE775" s="304"/>
    </row>
    <row r="776" spans="2:31" ht="12">
      <c r="B776" s="55"/>
      <c r="AB776" s="304"/>
      <c r="AC776" s="304"/>
      <c r="AD776" s="304"/>
      <c r="AE776" s="304"/>
    </row>
    <row r="777" spans="2:31" ht="12">
      <c r="B777" s="55"/>
      <c r="AB777" s="304"/>
      <c r="AC777" s="304"/>
      <c r="AD777" s="304"/>
      <c r="AE777" s="304"/>
    </row>
    <row r="778" spans="2:31" ht="12">
      <c r="B778" s="55"/>
      <c r="AB778" s="304"/>
      <c r="AC778" s="304"/>
      <c r="AD778" s="304"/>
      <c r="AE778" s="304"/>
    </row>
    <row r="779" spans="2:31" ht="12">
      <c r="B779" s="55"/>
      <c r="AB779" s="304"/>
      <c r="AC779" s="304"/>
      <c r="AD779" s="304"/>
      <c r="AE779" s="304"/>
    </row>
    <row r="780" spans="2:31" ht="12">
      <c r="B780" s="55"/>
      <c r="AB780" s="304"/>
      <c r="AC780" s="304"/>
      <c r="AD780" s="304"/>
      <c r="AE780" s="304"/>
    </row>
    <row r="781" spans="2:31" ht="12">
      <c r="B781" s="55"/>
      <c r="AB781" s="304"/>
      <c r="AC781" s="304"/>
      <c r="AD781" s="304"/>
      <c r="AE781" s="304"/>
    </row>
    <row r="782" spans="2:31" ht="12">
      <c r="B782" s="55"/>
      <c r="AB782" s="304"/>
      <c r="AC782" s="304"/>
      <c r="AD782" s="304"/>
      <c r="AE782" s="304"/>
    </row>
    <row r="783" spans="2:31" ht="12">
      <c r="B783" s="55"/>
      <c r="AB783" s="304"/>
      <c r="AC783" s="304"/>
      <c r="AD783" s="304"/>
      <c r="AE783" s="304"/>
    </row>
    <row r="784" spans="2:31" ht="12">
      <c r="B784" s="55"/>
      <c r="AB784" s="304"/>
      <c r="AC784" s="304"/>
      <c r="AD784" s="304"/>
      <c r="AE784" s="304"/>
    </row>
    <row r="785" spans="2:31" ht="12">
      <c r="B785" s="55"/>
      <c r="AB785" s="304"/>
      <c r="AC785" s="304"/>
      <c r="AD785" s="304"/>
      <c r="AE785" s="304"/>
    </row>
    <row r="786" spans="2:31" ht="12">
      <c r="B786" s="55"/>
      <c r="AB786" s="304"/>
      <c r="AC786" s="304"/>
      <c r="AD786" s="304"/>
      <c r="AE786" s="304"/>
    </row>
    <row r="787" spans="2:31" ht="12">
      <c r="B787" s="55"/>
      <c r="AB787" s="304"/>
      <c r="AC787" s="304"/>
      <c r="AD787" s="304"/>
      <c r="AE787" s="304"/>
    </row>
    <row r="788" spans="2:31" ht="12">
      <c r="B788" s="55"/>
      <c r="AB788" s="304"/>
      <c r="AC788" s="304"/>
      <c r="AD788" s="304"/>
      <c r="AE788" s="304"/>
    </row>
    <row r="789" spans="2:31" ht="12">
      <c r="B789" s="55"/>
      <c r="AB789" s="304"/>
      <c r="AC789" s="304"/>
      <c r="AD789" s="304"/>
      <c r="AE789" s="304"/>
    </row>
    <row r="790" spans="2:31" ht="12">
      <c r="B790" s="55"/>
      <c r="AB790" s="304"/>
      <c r="AC790" s="304"/>
      <c r="AD790" s="304"/>
      <c r="AE790" s="304"/>
    </row>
    <row r="791" spans="2:31" ht="12">
      <c r="B791" s="55"/>
      <c r="AB791" s="304"/>
      <c r="AC791" s="304"/>
      <c r="AD791" s="304"/>
      <c r="AE791" s="304"/>
    </row>
    <row r="792" spans="2:31" ht="12">
      <c r="B792" s="55"/>
      <c r="AB792" s="304"/>
      <c r="AC792" s="304"/>
      <c r="AD792" s="304"/>
      <c r="AE792" s="304"/>
    </row>
    <row r="793" spans="2:31" ht="12">
      <c r="B793" s="55"/>
      <c r="AB793" s="304"/>
      <c r="AC793" s="304"/>
      <c r="AD793" s="304"/>
      <c r="AE793" s="304"/>
    </row>
    <row r="794" spans="2:31" ht="12">
      <c r="B794" s="55"/>
      <c r="AB794" s="304"/>
      <c r="AC794" s="304"/>
      <c r="AD794" s="304"/>
      <c r="AE794" s="304"/>
    </row>
    <row r="795" spans="2:31" ht="12">
      <c r="B795" s="55"/>
      <c r="AB795" s="304"/>
      <c r="AC795" s="304"/>
      <c r="AD795" s="304"/>
      <c r="AE795" s="304"/>
    </row>
    <row r="796" spans="2:31" ht="12">
      <c r="B796" s="55"/>
      <c r="AB796" s="304"/>
      <c r="AC796" s="304"/>
      <c r="AD796" s="304"/>
      <c r="AE796" s="304"/>
    </row>
    <row r="797" spans="2:31" ht="12">
      <c r="B797" s="55"/>
      <c r="AB797" s="304"/>
      <c r="AC797" s="304"/>
      <c r="AD797" s="304"/>
      <c r="AE797" s="304"/>
    </row>
    <row r="798" spans="2:31" ht="12">
      <c r="B798" s="55"/>
      <c r="AB798" s="304"/>
      <c r="AC798" s="304"/>
      <c r="AD798" s="304"/>
      <c r="AE798" s="304"/>
    </row>
    <row r="799" spans="2:31" ht="12">
      <c r="B799" s="55"/>
      <c r="AB799" s="304"/>
      <c r="AC799" s="304"/>
      <c r="AD799" s="304"/>
      <c r="AE799" s="304"/>
    </row>
    <row r="800" spans="2:31" ht="12">
      <c r="B800" s="55"/>
      <c r="AB800" s="304"/>
      <c r="AC800" s="304"/>
      <c r="AD800" s="304"/>
      <c r="AE800" s="304"/>
    </row>
    <row r="801" spans="2:31" ht="12">
      <c r="B801" s="55"/>
      <c r="AB801" s="304"/>
      <c r="AC801" s="304"/>
      <c r="AD801" s="304"/>
      <c r="AE801" s="304"/>
    </row>
    <row r="802" spans="2:31" ht="12">
      <c r="B802" s="55"/>
      <c r="AB802" s="304"/>
      <c r="AC802" s="304"/>
      <c r="AD802" s="304"/>
      <c r="AE802" s="304"/>
    </row>
    <row r="803" spans="2:31" ht="12">
      <c r="B803" s="55"/>
      <c r="AB803" s="304"/>
      <c r="AC803" s="304"/>
      <c r="AD803" s="304"/>
      <c r="AE803" s="304"/>
    </row>
    <row r="804" spans="2:31" ht="12">
      <c r="B804" s="55"/>
      <c r="AB804" s="304"/>
      <c r="AC804" s="304"/>
      <c r="AD804" s="304"/>
      <c r="AE804" s="304"/>
    </row>
    <row r="805" spans="2:31" ht="12">
      <c r="B805" s="55"/>
      <c r="AB805" s="304"/>
      <c r="AC805" s="304"/>
      <c r="AD805" s="304"/>
      <c r="AE805" s="304"/>
    </row>
    <row r="806" spans="2:31" ht="12">
      <c r="B806" s="55"/>
      <c r="AB806" s="304"/>
      <c r="AC806" s="304"/>
      <c r="AD806" s="304"/>
      <c r="AE806" s="304"/>
    </row>
    <row r="807" spans="2:31" ht="12">
      <c r="B807" s="55"/>
      <c r="AB807" s="304"/>
      <c r="AC807" s="304"/>
      <c r="AD807" s="304"/>
      <c r="AE807" s="304"/>
    </row>
    <row r="808" spans="2:31" ht="12">
      <c r="B808" s="55"/>
      <c r="AB808" s="304"/>
      <c r="AC808" s="304"/>
      <c r="AD808" s="304"/>
      <c r="AE808" s="304"/>
    </row>
    <row r="809" spans="2:31" ht="12">
      <c r="B809" s="55"/>
      <c r="AB809" s="304"/>
      <c r="AC809" s="304"/>
      <c r="AD809" s="304"/>
      <c r="AE809" s="304"/>
    </row>
    <row r="810" spans="2:31" ht="12">
      <c r="B810" s="55"/>
      <c r="AB810" s="304"/>
      <c r="AC810" s="304"/>
      <c r="AD810" s="304"/>
      <c r="AE810" s="304"/>
    </row>
    <row r="811" spans="2:31" ht="12">
      <c r="B811" s="55"/>
      <c r="AB811" s="304"/>
      <c r="AC811" s="304"/>
      <c r="AD811" s="304"/>
      <c r="AE811" s="304"/>
    </row>
    <row r="812" spans="2:31" ht="12">
      <c r="B812" s="55"/>
      <c r="AB812" s="304"/>
      <c r="AC812" s="304"/>
      <c r="AD812" s="304"/>
      <c r="AE812" s="304"/>
    </row>
    <row r="813" spans="2:31" ht="12">
      <c r="B813" s="55"/>
      <c r="AB813" s="304"/>
      <c r="AC813" s="304"/>
      <c r="AD813" s="304"/>
      <c r="AE813" s="304"/>
    </row>
    <row r="814" spans="2:31" ht="12">
      <c r="B814" s="55"/>
      <c r="AB814" s="304"/>
      <c r="AC814" s="304"/>
      <c r="AD814" s="304"/>
      <c r="AE814" s="304"/>
    </row>
    <row r="815" spans="2:31" ht="12">
      <c r="B815" s="55"/>
      <c r="AB815" s="304"/>
      <c r="AC815" s="304"/>
      <c r="AD815" s="304"/>
      <c r="AE815" s="304"/>
    </row>
    <row r="816" spans="2:31" ht="12">
      <c r="B816" s="55"/>
      <c r="AB816" s="304"/>
      <c r="AC816" s="304"/>
      <c r="AD816" s="304"/>
      <c r="AE816" s="304"/>
    </row>
    <row r="817" spans="2:31" ht="12">
      <c r="B817" s="55"/>
      <c r="AB817" s="304"/>
      <c r="AC817" s="304"/>
      <c r="AD817" s="304"/>
      <c r="AE817" s="304"/>
    </row>
    <row r="818" spans="2:31" ht="12">
      <c r="B818" s="55"/>
      <c r="AB818" s="304"/>
      <c r="AC818" s="304"/>
      <c r="AD818" s="304"/>
      <c r="AE818" s="304"/>
    </row>
    <row r="819" spans="2:31" ht="12">
      <c r="B819" s="55"/>
      <c r="AB819" s="304"/>
      <c r="AC819" s="304"/>
      <c r="AD819" s="304"/>
      <c r="AE819" s="304"/>
    </row>
    <row r="820" spans="2:31" ht="12">
      <c r="B820" s="55"/>
      <c r="AB820" s="304"/>
      <c r="AC820" s="304"/>
      <c r="AD820" s="304"/>
      <c r="AE820" s="304"/>
    </row>
    <row r="821" spans="2:31" ht="12">
      <c r="B821" s="55"/>
      <c r="AB821" s="304"/>
      <c r="AC821" s="304"/>
      <c r="AD821" s="304"/>
      <c r="AE821" s="304"/>
    </row>
    <row r="822" spans="2:31" ht="12">
      <c r="B822" s="55"/>
      <c r="AB822" s="304"/>
      <c r="AC822" s="304"/>
      <c r="AD822" s="304"/>
      <c r="AE822" s="304"/>
    </row>
    <row r="823" spans="2:31" ht="12">
      <c r="B823" s="55"/>
      <c r="AB823" s="304"/>
      <c r="AC823" s="304"/>
      <c r="AD823" s="304"/>
      <c r="AE823" s="304"/>
    </row>
    <row r="824" spans="2:31" ht="12">
      <c r="B824" s="55"/>
      <c r="AB824" s="304"/>
      <c r="AC824" s="304"/>
      <c r="AD824" s="304"/>
      <c r="AE824" s="304"/>
    </row>
    <row r="825" spans="2:31" ht="12">
      <c r="B825" s="55"/>
      <c r="AB825" s="304"/>
      <c r="AC825" s="304"/>
      <c r="AD825" s="304"/>
      <c r="AE825" s="304"/>
    </row>
    <row r="826" spans="2:31" ht="12">
      <c r="B826" s="55"/>
      <c r="AB826" s="304"/>
      <c r="AC826" s="304"/>
      <c r="AD826" s="304"/>
      <c r="AE826" s="304"/>
    </row>
    <row r="827" spans="2:31" ht="12">
      <c r="B827" s="55"/>
      <c r="AB827" s="304"/>
      <c r="AC827" s="304"/>
      <c r="AD827" s="304"/>
      <c r="AE827" s="304"/>
    </row>
    <row r="828" spans="2:31" ht="12">
      <c r="B828" s="55"/>
      <c r="AB828" s="304"/>
      <c r="AC828" s="304"/>
      <c r="AD828" s="304"/>
      <c r="AE828" s="304"/>
    </row>
    <row r="829" spans="2:31" ht="12">
      <c r="B829" s="55"/>
      <c r="AB829" s="304"/>
      <c r="AC829" s="304"/>
      <c r="AD829" s="304"/>
      <c r="AE829" s="304"/>
    </row>
    <row r="830" spans="2:31" ht="12">
      <c r="B830" s="55"/>
      <c r="AB830" s="304"/>
      <c r="AC830" s="304"/>
      <c r="AD830" s="304"/>
      <c r="AE830" s="304"/>
    </row>
    <row r="831" spans="2:31" ht="12">
      <c r="B831" s="55"/>
      <c r="AB831" s="304"/>
      <c r="AC831" s="304"/>
      <c r="AD831" s="304"/>
      <c r="AE831" s="304"/>
    </row>
    <row r="832" spans="2:31" ht="12">
      <c r="B832" s="55"/>
      <c r="AB832" s="304"/>
      <c r="AC832" s="304"/>
      <c r="AD832" s="304"/>
      <c r="AE832" s="304"/>
    </row>
    <row r="833" spans="2:31" ht="12">
      <c r="B833" s="55"/>
      <c r="AB833" s="304"/>
      <c r="AC833" s="304"/>
      <c r="AD833" s="304"/>
      <c r="AE833" s="304"/>
    </row>
    <row r="834" spans="2:31" ht="12">
      <c r="B834" s="55"/>
      <c r="AB834" s="304"/>
      <c r="AC834" s="304"/>
      <c r="AD834" s="304"/>
      <c r="AE834" s="304"/>
    </row>
    <row r="835" spans="2:31" ht="12">
      <c r="B835" s="55"/>
      <c r="AB835" s="304"/>
      <c r="AC835" s="304"/>
      <c r="AD835" s="304"/>
      <c r="AE835" s="304"/>
    </row>
    <row r="836" spans="2:31" ht="12">
      <c r="B836" s="55"/>
      <c r="AB836" s="304"/>
      <c r="AC836" s="304"/>
      <c r="AD836" s="304"/>
      <c r="AE836" s="304"/>
    </row>
    <row r="837" spans="2:31" ht="12">
      <c r="B837" s="55"/>
      <c r="AB837" s="304"/>
      <c r="AC837" s="304"/>
      <c r="AD837" s="304"/>
      <c r="AE837" s="304"/>
    </row>
    <row r="838" spans="2:31" ht="12">
      <c r="B838" s="55"/>
      <c r="AB838" s="304"/>
      <c r="AC838" s="304"/>
      <c r="AD838" s="304"/>
      <c r="AE838" s="304"/>
    </row>
    <row r="839" spans="2:31" ht="12">
      <c r="B839" s="55"/>
      <c r="AB839" s="304"/>
      <c r="AC839" s="304"/>
      <c r="AD839" s="304"/>
      <c r="AE839" s="304"/>
    </row>
    <row r="840" spans="2:31" ht="12">
      <c r="B840" s="55"/>
      <c r="AB840" s="304"/>
      <c r="AC840" s="304"/>
      <c r="AD840" s="304"/>
      <c r="AE840" s="304"/>
    </row>
    <row r="841" spans="2:31" ht="12">
      <c r="B841" s="55"/>
      <c r="AB841" s="304"/>
      <c r="AC841" s="304"/>
      <c r="AD841" s="304"/>
      <c r="AE841" s="304"/>
    </row>
    <row r="842" spans="2:31" ht="12">
      <c r="B842" s="55"/>
      <c r="AB842" s="304"/>
      <c r="AC842" s="304"/>
      <c r="AD842" s="304"/>
      <c r="AE842" s="304"/>
    </row>
    <row r="843" spans="2:31" ht="12">
      <c r="B843" s="55"/>
      <c r="AB843" s="304"/>
      <c r="AC843" s="304"/>
      <c r="AD843" s="304"/>
      <c r="AE843" s="304"/>
    </row>
    <row r="844" spans="2:31" ht="12">
      <c r="B844" s="55"/>
      <c r="AB844" s="304"/>
      <c r="AC844" s="304"/>
      <c r="AD844" s="304"/>
      <c r="AE844" s="304"/>
    </row>
    <row r="845" spans="2:31" ht="12">
      <c r="B845" s="55"/>
      <c r="AB845" s="304"/>
      <c r="AC845" s="304"/>
      <c r="AD845" s="304"/>
      <c r="AE845" s="304"/>
    </row>
    <row r="846" spans="2:31" ht="12">
      <c r="B846" s="55"/>
      <c r="AB846" s="304"/>
      <c r="AC846" s="304"/>
      <c r="AD846" s="304"/>
      <c r="AE846" s="304"/>
    </row>
    <row r="847" spans="2:31" ht="12">
      <c r="B847" s="55"/>
      <c r="AB847" s="304"/>
      <c r="AC847" s="304"/>
      <c r="AD847" s="304"/>
      <c r="AE847" s="304"/>
    </row>
    <row r="848" spans="2:31" ht="12">
      <c r="B848" s="55"/>
      <c r="AB848" s="304"/>
      <c r="AC848" s="304"/>
      <c r="AD848" s="304"/>
      <c r="AE848" s="304"/>
    </row>
    <row r="849" spans="2:31" ht="12">
      <c r="B849" s="55"/>
      <c r="AB849" s="304"/>
      <c r="AC849" s="304"/>
      <c r="AD849" s="304"/>
      <c r="AE849" s="304"/>
    </row>
    <row r="850" spans="2:31" ht="12">
      <c r="B850" s="55"/>
      <c r="AB850" s="304"/>
      <c r="AC850" s="304"/>
      <c r="AD850" s="304"/>
      <c r="AE850" s="304"/>
    </row>
    <row r="851" spans="2:31" ht="12">
      <c r="B851" s="55"/>
      <c r="AB851" s="304"/>
      <c r="AC851" s="304"/>
      <c r="AD851" s="304"/>
      <c r="AE851" s="304"/>
    </row>
    <row r="852" spans="2:31" ht="12">
      <c r="B852" s="55"/>
      <c r="AB852" s="304"/>
      <c r="AC852" s="304"/>
      <c r="AD852" s="304"/>
      <c r="AE852" s="304"/>
    </row>
    <row r="853" spans="2:31" ht="12">
      <c r="B853" s="55"/>
      <c r="AB853" s="304"/>
      <c r="AC853" s="304"/>
      <c r="AD853" s="304"/>
      <c r="AE853" s="304"/>
    </row>
    <row r="854" spans="2:31" ht="12">
      <c r="B854" s="55"/>
      <c r="AB854" s="304"/>
      <c r="AC854" s="304"/>
      <c r="AD854" s="304"/>
      <c r="AE854" s="304"/>
    </row>
    <row r="855" spans="2:31" ht="12">
      <c r="B855" s="55"/>
      <c r="AB855" s="304"/>
      <c r="AC855" s="304"/>
      <c r="AD855" s="304"/>
      <c r="AE855" s="304"/>
    </row>
    <row r="856" spans="2:31" ht="12">
      <c r="B856" s="55"/>
      <c r="AB856" s="304"/>
      <c r="AC856" s="304"/>
      <c r="AD856" s="304"/>
      <c r="AE856" s="304"/>
    </row>
    <row r="857" spans="2:31" ht="12">
      <c r="B857" s="55"/>
      <c r="AB857" s="304"/>
      <c r="AC857" s="304"/>
      <c r="AD857" s="304"/>
      <c r="AE857" s="304"/>
    </row>
    <row r="858" spans="2:31" ht="12">
      <c r="B858" s="55"/>
      <c r="AB858" s="304"/>
      <c r="AC858" s="304"/>
      <c r="AD858" s="304"/>
      <c r="AE858" s="304"/>
    </row>
    <row r="859" spans="2:31" ht="12">
      <c r="B859" s="55"/>
      <c r="AB859" s="304"/>
      <c r="AC859" s="304"/>
      <c r="AD859" s="304"/>
      <c r="AE859" s="304"/>
    </row>
    <row r="860" spans="2:31" ht="12">
      <c r="B860" s="55"/>
      <c r="AB860" s="304"/>
      <c r="AC860" s="304"/>
      <c r="AD860" s="304"/>
      <c r="AE860" s="304"/>
    </row>
    <row r="861" spans="2:31" ht="12">
      <c r="B861" s="55"/>
      <c r="AB861" s="304"/>
      <c r="AC861" s="304"/>
      <c r="AD861" s="304"/>
      <c r="AE861" s="304"/>
    </row>
    <row r="862" spans="2:31" ht="12">
      <c r="B862" s="55"/>
      <c r="AB862" s="304"/>
      <c r="AC862" s="304"/>
      <c r="AD862" s="304"/>
      <c r="AE862" s="304"/>
    </row>
    <row r="863" spans="2:31" ht="12">
      <c r="B863" s="55"/>
      <c r="AB863" s="304"/>
      <c r="AC863" s="304"/>
      <c r="AD863" s="304"/>
      <c r="AE863" s="304"/>
    </row>
    <row r="864" spans="2:31" ht="12">
      <c r="B864" s="55"/>
      <c r="AB864" s="304"/>
      <c r="AC864" s="304"/>
      <c r="AD864" s="304"/>
      <c r="AE864" s="304"/>
    </row>
    <row r="865" spans="2:31" ht="12">
      <c r="B865" s="55"/>
      <c r="AB865" s="304"/>
      <c r="AC865" s="304"/>
      <c r="AD865" s="304"/>
      <c r="AE865" s="304"/>
    </row>
    <row r="866" spans="2:31" ht="12">
      <c r="B866" s="55"/>
      <c r="AB866" s="304"/>
      <c r="AC866" s="304"/>
      <c r="AD866" s="304"/>
      <c r="AE866" s="304"/>
    </row>
    <row r="867" spans="2:31" ht="12">
      <c r="B867" s="55"/>
      <c r="AB867" s="304"/>
      <c r="AC867" s="304"/>
      <c r="AD867" s="304"/>
      <c r="AE867" s="304"/>
    </row>
    <row r="868" spans="2:31" ht="12">
      <c r="B868" s="55"/>
      <c r="AB868" s="304"/>
      <c r="AC868" s="304"/>
      <c r="AD868" s="304"/>
      <c r="AE868" s="304"/>
    </row>
    <row r="869" spans="2:31" ht="12">
      <c r="B869" s="55"/>
      <c r="AB869" s="304"/>
      <c r="AC869" s="304"/>
      <c r="AD869" s="304"/>
      <c r="AE869" s="304"/>
    </row>
    <row r="870" spans="2:31" ht="12">
      <c r="B870" s="55"/>
      <c r="AB870" s="304"/>
      <c r="AC870" s="304"/>
      <c r="AD870" s="304"/>
      <c r="AE870" s="304"/>
    </row>
    <row r="871" spans="2:31" ht="12">
      <c r="B871" s="55"/>
      <c r="AB871" s="304"/>
      <c r="AC871" s="304"/>
      <c r="AD871" s="304"/>
      <c r="AE871" s="304"/>
    </row>
    <row r="872" spans="2:31" ht="12">
      <c r="B872" s="55"/>
      <c r="AB872" s="304"/>
      <c r="AC872" s="304"/>
      <c r="AD872" s="304"/>
      <c r="AE872" s="304"/>
    </row>
    <row r="873" spans="2:31" ht="12">
      <c r="B873" s="55"/>
      <c r="AB873" s="304"/>
      <c r="AC873" s="304"/>
      <c r="AD873" s="304"/>
      <c r="AE873" s="304"/>
    </row>
    <row r="874" spans="2:31" ht="12">
      <c r="B874" s="55"/>
      <c r="AB874" s="304"/>
      <c r="AC874" s="304"/>
      <c r="AD874" s="304"/>
      <c r="AE874" s="304"/>
    </row>
    <row r="875" spans="2:31" ht="12">
      <c r="B875" s="55"/>
      <c r="AB875" s="304"/>
      <c r="AC875" s="304"/>
      <c r="AD875" s="304"/>
      <c r="AE875" s="304"/>
    </row>
    <row r="876" spans="2:31" ht="12">
      <c r="B876" s="55"/>
      <c r="AB876" s="304"/>
      <c r="AC876" s="304"/>
      <c r="AD876" s="304"/>
      <c r="AE876" s="304"/>
    </row>
    <row r="877" spans="2:31" ht="12">
      <c r="B877" s="55"/>
      <c r="AB877" s="304"/>
      <c r="AC877" s="304"/>
      <c r="AD877" s="304"/>
      <c r="AE877" s="304"/>
    </row>
    <row r="878" spans="2:31" ht="12">
      <c r="B878" s="55"/>
      <c r="AB878" s="304"/>
      <c r="AC878" s="304"/>
      <c r="AD878" s="304"/>
      <c r="AE878" s="304"/>
    </row>
    <row r="879" spans="2:31" ht="12">
      <c r="B879" s="55"/>
      <c r="AB879" s="304"/>
      <c r="AC879" s="304"/>
      <c r="AD879" s="304"/>
      <c r="AE879" s="304"/>
    </row>
    <row r="880" spans="2:31" ht="12">
      <c r="B880" s="55"/>
      <c r="AB880" s="304"/>
      <c r="AC880" s="304"/>
      <c r="AD880" s="304"/>
      <c r="AE880" s="304"/>
    </row>
    <row r="881" spans="2:31" ht="12">
      <c r="B881" s="55"/>
      <c r="AB881" s="304"/>
      <c r="AC881" s="304"/>
      <c r="AD881" s="304"/>
      <c r="AE881" s="304"/>
    </row>
    <row r="882" spans="2:31" ht="12">
      <c r="B882" s="55"/>
      <c r="AB882" s="304"/>
      <c r="AC882" s="304"/>
      <c r="AD882" s="304"/>
      <c r="AE882" s="304"/>
    </row>
    <row r="883" spans="2:31" ht="12">
      <c r="B883" s="55"/>
      <c r="AB883" s="304"/>
      <c r="AC883" s="304"/>
      <c r="AD883" s="304"/>
      <c r="AE883" s="304"/>
    </row>
    <row r="884" spans="2:31" ht="12">
      <c r="B884" s="55"/>
      <c r="AB884" s="304"/>
      <c r="AC884" s="304"/>
      <c r="AD884" s="304"/>
      <c r="AE884" s="304"/>
    </row>
    <row r="885" spans="2:31" ht="12">
      <c r="B885" s="55"/>
      <c r="AB885" s="304"/>
      <c r="AC885" s="304"/>
      <c r="AD885" s="304"/>
      <c r="AE885" s="304"/>
    </row>
    <row r="886" spans="2:31" ht="12">
      <c r="B886" s="55"/>
      <c r="AB886" s="304"/>
      <c r="AC886" s="304"/>
      <c r="AD886" s="304"/>
      <c r="AE886" s="304"/>
    </row>
    <row r="887" spans="2:31" ht="12">
      <c r="B887" s="55"/>
      <c r="AB887" s="304"/>
      <c r="AC887" s="304"/>
      <c r="AD887" s="304"/>
      <c r="AE887" s="304"/>
    </row>
    <row r="888" spans="2:31" ht="12">
      <c r="B888" s="55"/>
      <c r="AB888" s="304"/>
      <c r="AC888" s="304"/>
      <c r="AD888" s="304"/>
      <c r="AE888" s="304"/>
    </row>
    <row r="889" spans="2:31" ht="12">
      <c r="B889" s="55"/>
      <c r="AB889" s="304"/>
      <c r="AC889" s="304"/>
      <c r="AD889" s="304"/>
      <c r="AE889" s="304"/>
    </row>
    <row r="890" spans="2:31" ht="12">
      <c r="B890" s="55"/>
      <c r="AB890" s="304"/>
      <c r="AC890" s="304"/>
      <c r="AD890" s="304"/>
      <c r="AE890" s="304"/>
    </row>
    <row r="891" spans="2:31" ht="12">
      <c r="B891" s="55"/>
      <c r="AB891" s="304"/>
      <c r="AC891" s="304"/>
      <c r="AD891" s="304"/>
      <c r="AE891" s="304"/>
    </row>
    <row r="892" spans="2:31" ht="12">
      <c r="B892" s="55"/>
      <c r="AB892" s="304"/>
      <c r="AC892" s="304"/>
      <c r="AD892" s="304"/>
      <c r="AE892" s="304"/>
    </row>
    <row r="893" spans="2:31" ht="12">
      <c r="B893" s="55"/>
      <c r="AB893" s="304"/>
      <c r="AC893" s="304"/>
      <c r="AD893" s="304"/>
      <c r="AE893" s="304"/>
    </row>
    <row r="894" spans="2:31" ht="12">
      <c r="B894" s="55"/>
      <c r="AB894" s="304"/>
      <c r="AC894" s="304"/>
      <c r="AD894" s="304"/>
      <c r="AE894" s="304"/>
    </row>
    <row r="895" spans="2:31" ht="12">
      <c r="B895" s="55"/>
      <c r="AB895" s="304"/>
      <c r="AC895" s="304"/>
      <c r="AD895" s="304"/>
      <c r="AE895" s="304"/>
    </row>
    <row r="896" spans="2:31" ht="12">
      <c r="B896" s="55"/>
      <c r="AB896" s="304"/>
      <c r="AC896" s="304"/>
      <c r="AD896" s="304"/>
      <c r="AE896" s="304"/>
    </row>
    <row r="897" spans="2:31" ht="12">
      <c r="B897" s="55"/>
      <c r="AB897" s="304"/>
      <c r="AC897" s="304"/>
      <c r="AD897" s="304"/>
      <c r="AE897" s="304"/>
    </row>
    <row r="898" spans="2:31" ht="12">
      <c r="B898" s="55"/>
      <c r="AB898" s="304"/>
      <c r="AC898" s="304"/>
      <c r="AD898" s="304"/>
      <c r="AE898" s="304"/>
    </row>
    <row r="899" spans="2:31" ht="12">
      <c r="B899" s="55"/>
      <c r="AB899" s="304"/>
      <c r="AC899" s="304"/>
      <c r="AD899" s="304"/>
      <c r="AE899" s="304"/>
    </row>
    <row r="900" spans="2:31" ht="12">
      <c r="B900" s="55"/>
      <c r="AB900" s="304"/>
      <c r="AC900" s="304"/>
      <c r="AD900" s="304"/>
      <c r="AE900" s="304"/>
    </row>
    <row r="901" spans="2:31" ht="12">
      <c r="B901" s="55"/>
      <c r="AB901" s="304"/>
      <c r="AC901" s="304"/>
      <c r="AD901" s="304"/>
      <c r="AE901" s="304"/>
    </row>
    <row r="902" spans="2:31" ht="12">
      <c r="B902" s="55"/>
      <c r="AB902" s="304"/>
      <c r="AC902" s="304"/>
      <c r="AD902" s="304"/>
      <c r="AE902" s="304"/>
    </row>
    <row r="903" spans="2:31" ht="12">
      <c r="B903" s="55"/>
      <c r="AB903" s="304"/>
      <c r="AC903" s="304"/>
      <c r="AD903" s="304"/>
      <c r="AE903" s="304"/>
    </row>
    <row r="904" spans="2:31" ht="12">
      <c r="B904" s="55"/>
      <c r="AB904" s="304"/>
      <c r="AC904" s="304"/>
      <c r="AD904" s="304"/>
      <c r="AE904" s="304"/>
    </row>
    <row r="905" spans="2:31" ht="12">
      <c r="B905" s="55"/>
      <c r="AB905" s="304"/>
      <c r="AC905" s="304"/>
      <c r="AD905" s="304"/>
      <c r="AE905" s="304"/>
    </row>
    <row r="906" spans="2:31" ht="12">
      <c r="B906" s="55"/>
      <c r="AB906" s="304"/>
      <c r="AC906" s="304"/>
      <c r="AD906" s="304"/>
      <c r="AE906" s="304"/>
    </row>
    <row r="907" spans="2:31" ht="12">
      <c r="B907" s="55"/>
      <c r="AB907" s="304"/>
      <c r="AC907" s="304"/>
      <c r="AD907" s="304"/>
      <c r="AE907" s="304"/>
    </row>
    <row r="908" spans="2:31" ht="12">
      <c r="B908" s="55"/>
      <c r="AB908" s="304"/>
      <c r="AC908" s="304"/>
      <c r="AD908" s="304"/>
      <c r="AE908" s="304"/>
    </row>
    <row r="909" spans="2:31" ht="12">
      <c r="B909" s="55"/>
      <c r="AB909" s="304"/>
      <c r="AC909" s="304"/>
      <c r="AD909" s="304"/>
      <c r="AE909" s="304"/>
    </row>
    <row r="910" spans="2:31" ht="12">
      <c r="B910" s="55"/>
      <c r="AB910" s="304"/>
      <c r="AC910" s="304"/>
      <c r="AD910" s="304"/>
      <c r="AE910" s="304"/>
    </row>
    <row r="911" spans="2:31" ht="12">
      <c r="B911" s="55"/>
      <c r="AB911" s="304"/>
      <c r="AC911" s="304"/>
      <c r="AD911" s="304"/>
      <c r="AE911" s="304"/>
    </row>
    <row r="912" spans="2:31" ht="12">
      <c r="B912" s="55"/>
      <c r="AB912" s="304"/>
      <c r="AC912" s="304"/>
      <c r="AD912" s="304"/>
      <c r="AE912" s="304"/>
    </row>
    <row r="913" spans="2:31" ht="12">
      <c r="B913" s="55"/>
      <c r="AB913" s="304"/>
      <c r="AC913" s="304"/>
      <c r="AD913" s="304"/>
      <c r="AE913" s="304"/>
    </row>
    <row r="914" spans="2:31" ht="12">
      <c r="B914" s="55"/>
      <c r="AB914" s="304"/>
      <c r="AC914" s="304"/>
      <c r="AD914" s="304"/>
      <c r="AE914" s="304"/>
    </row>
    <row r="915" spans="2:31" ht="12">
      <c r="B915" s="55"/>
      <c r="AB915" s="304"/>
      <c r="AC915" s="304"/>
      <c r="AD915" s="304"/>
      <c r="AE915" s="304"/>
    </row>
    <row r="916" spans="2:31" ht="12">
      <c r="B916" s="55"/>
      <c r="AB916" s="304"/>
      <c r="AC916" s="304"/>
      <c r="AD916" s="304"/>
      <c r="AE916" s="304"/>
    </row>
    <row r="917" spans="2:31" ht="12">
      <c r="B917" s="55"/>
      <c r="AB917" s="304"/>
      <c r="AC917" s="304"/>
      <c r="AD917" s="304"/>
      <c r="AE917" s="304"/>
    </row>
    <row r="918" spans="2:31" ht="12">
      <c r="B918" s="55"/>
      <c r="AB918" s="304"/>
      <c r="AC918" s="304"/>
      <c r="AD918" s="304"/>
      <c r="AE918" s="304"/>
    </row>
    <row r="919" spans="2:31" ht="12">
      <c r="B919" s="55"/>
      <c r="AB919" s="304"/>
      <c r="AC919" s="304"/>
      <c r="AD919" s="304"/>
      <c r="AE919" s="304"/>
    </row>
    <row r="920" spans="2:31" ht="12">
      <c r="B920" s="55"/>
      <c r="AB920" s="304"/>
      <c r="AC920" s="304"/>
      <c r="AD920" s="304"/>
      <c r="AE920" s="304"/>
    </row>
    <row r="921" spans="2:31" ht="12">
      <c r="B921" s="55"/>
      <c r="AB921" s="304"/>
      <c r="AC921" s="304"/>
      <c r="AD921" s="304"/>
      <c r="AE921" s="304"/>
    </row>
    <row r="922" spans="2:31" ht="12">
      <c r="B922" s="55"/>
      <c r="AB922" s="304"/>
      <c r="AC922" s="304"/>
      <c r="AD922" s="304"/>
      <c r="AE922" s="304"/>
    </row>
    <row r="923" spans="2:31" ht="12">
      <c r="B923" s="55"/>
      <c r="AB923" s="304"/>
      <c r="AC923" s="304"/>
      <c r="AD923" s="304"/>
      <c r="AE923" s="304"/>
    </row>
    <row r="924" spans="2:31" ht="12">
      <c r="B924" s="55"/>
      <c r="AB924" s="304"/>
      <c r="AC924" s="304"/>
      <c r="AD924" s="304"/>
      <c r="AE924" s="304"/>
    </row>
    <row r="925" spans="2:31" ht="12">
      <c r="B925" s="55"/>
      <c r="AB925" s="304"/>
      <c r="AC925" s="304"/>
      <c r="AD925" s="304"/>
      <c r="AE925" s="304"/>
    </row>
    <row r="926" spans="2:31" ht="12">
      <c r="B926" s="55"/>
      <c r="AB926" s="304"/>
      <c r="AC926" s="304"/>
      <c r="AD926" s="304"/>
      <c r="AE926" s="304"/>
    </row>
    <row r="927" spans="2:31" ht="12">
      <c r="B927" s="55"/>
      <c r="AB927" s="304"/>
      <c r="AC927" s="304"/>
      <c r="AD927" s="304"/>
      <c r="AE927" s="304"/>
    </row>
    <row r="928" spans="2:31" ht="12">
      <c r="B928" s="55"/>
      <c r="AB928" s="304"/>
      <c r="AC928" s="304"/>
      <c r="AD928" s="304"/>
      <c r="AE928" s="304"/>
    </row>
    <row r="929" spans="2:31" ht="12">
      <c r="B929" s="55"/>
      <c r="AB929" s="304"/>
      <c r="AC929" s="304"/>
      <c r="AD929" s="304"/>
      <c r="AE929" s="304"/>
    </row>
    <row r="930" spans="2:31" ht="12">
      <c r="B930" s="55"/>
      <c r="AB930" s="304"/>
      <c r="AC930" s="304"/>
      <c r="AD930" s="304"/>
      <c r="AE930" s="304"/>
    </row>
    <row r="931" spans="2:31" ht="12">
      <c r="B931" s="55"/>
      <c r="AB931" s="304"/>
      <c r="AC931" s="304"/>
      <c r="AD931" s="304"/>
      <c r="AE931" s="304"/>
    </row>
    <row r="932" spans="2:31" ht="12">
      <c r="B932" s="55"/>
      <c r="AB932" s="304"/>
      <c r="AC932" s="304"/>
      <c r="AD932" s="304"/>
      <c r="AE932" s="304"/>
    </row>
    <row r="933" spans="2:31" ht="12">
      <c r="B933" s="55"/>
      <c r="AB933" s="304"/>
      <c r="AC933" s="304"/>
      <c r="AD933" s="304"/>
      <c r="AE933" s="304"/>
    </row>
    <row r="934" spans="2:31" ht="12">
      <c r="B934" s="55"/>
      <c r="AB934" s="304"/>
      <c r="AC934" s="304"/>
      <c r="AD934" s="304"/>
      <c r="AE934" s="304"/>
    </row>
    <row r="935" spans="2:31" ht="12">
      <c r="B935" s="55"/>
      <c r="AB935" s="304"/>
      <c r="AC935" s="304"/>
      <c r="AD935" s="304"/>
      <c r="AE935" s="304"/>
    </row>
    <row r="936" spans="2:31" ht="12">
      <c r="B936" s="55"/>
      <c r="AB936" s="304"/>
      <c r="AC936" s="304"/>
      <c r="AD936" s="304"/>
      <c r="AE936" s="304"/>
    </row>
    <row r="937" spans="2:31" ht="12">
      <c r="B937" s="55"/>
      <c r="AB937" s="304"/>
      <c r="AC937" s="304"/>
      <c r="AD937" s="304"/>
      <c r="AE937" s="304"/>
    </row>
    <row r="938" spans="2:31" ht="12">
      <c r="B938" s="55"/>
      <c r="AB938" s="304"/>
      <c r="AC938" s="304"/>
      <c r="AD938" s="304"/>
      <c r="AE938" s="304"/>
    </row>
    <row r="939" spans="2:31" ht="12">
      <c r="B939" s="55"/>
      <c r="AB939" s="304"/>
      <c r="AC939" s="304"/>
      <c r="AD939" s="304"/>
      <c r="AE939" s="304"/>
    </row>
    <row r="940" spans="2:31" ht="12">
      <c r="B940" s="55"/>
      <c r="AB940" s="304"/>
      <c r="AC940" s="304"/>
      <c r="AD940" s="304"/>
      <c r="AE940" s="304"/>
    </row>
    <row r="941" spans="2:31" ht="12">
      <c r="B941" s="55"/>
      <c r="AB941" s="304"/>
      <c r="AC941" s="304"/>
      <c r="AD941" s="304"/>
      <c r="AE941" s="304"/>
    </row>
    <row r="942" spans="2:31" ht="12">
      <c r="B942" s="55"/>
      <c r="AB942" s="304"/>
      <c r="AC942" s="304"/>
      <c r="AD942" s="304"/>
      <c r="AE942" s="304"/>
    </row>
    <row r="943" spans="2:31" ht="12">
      <c r="B943" s="55"/>
      <c r="AB943" s="304"/>
      <c r="AC943" s="304"/>
      <c r="AD943" s="304"/>
      <c r="AE943" s="304"/>
    </row>
    <row r="944" spans="2:31" ht="12">
      <c r="B944" s="55"/>
      <c r="AB944" s="304"/>
      <c r="AC944" s="304"/>
      <c r="AD944" s="304"/>
      <c r="AE944" s="304"/>
    </row>
    <row r="945" spans="2:31" ht="12">
      <c r="B945" s="55"/>
      <c r="AB945" s="304"/>
      <c r="AC945" s="304"/>
      <c r="AD945" s="304"/>
      <c r="AE945" s="304"/>
    </row>
    <row r="946" spans="2:31" ht="12">
      <c r="B946" s="55"/>
      <c r="AB946" s="304"/>
      <c r="AC946" s="304"/>
      <c r="AD946" s="304"/>
      <c r="AE946" s="304"/>
    </row>
    <row r="947" spans="2:31" ht="12">
      <c r="B947" s="55"/>
      <c r="AB947" s="304"/>
      <c r="AC947" s="304"/>
      <c r="AD947" s="304"/>
      <c r="AE947" s="304"/>
    </row>
    <row r="948" spans="2:31" ht="12">
      <c r="B948" s="55"/>
      <c r="AB948" s="304"/>
      <c r="AC948" s="304"/>
      <c r="AD948" s="304"/>
      <c r="AE948" s="304"/>
    </row>
    <row r="949" spans="2:31" ht="12">
      <c r="B949" s="55"/>
      <c r="AB949" s="304"/>
      <c r="AC949" s="304"/>
      <c r="AD949" s="304"/>
      <c r="AE949" s="304"/>
    </row>
    <row r="950" spans="2:31" ht="12">
      <c r="B950" s="55"/>
      <c r="AB950" s="304"/>
      <c r="AC950" s="304"/>
      <c r="AD950" s="304"/>
      <c r="AE950" s="304"/>
    </row>
    <row r="951" spans="2:31" ht="12">
      <c r="B951" s="55"/>
      <c r="AB951" s="304"/>
      <c r="AC951" s="304"/>
      <c r="AD951" s="304"/>
      <c r="AE951" s="304"/>
    </row>
    <row r="952" spans="2:31" ht="12">
      <c r="B952" s="55"/>
      <c r="AB952" s="304"/>
      <c r="AC952" s="304"/>
      <c r="AD952" s="304"/>
      <c r="AE952" s="304"/>
    </row>
    <row r="953" spans="2:31" ht="12">
      <c r="B953" s="55"/>
      <c r="AB953" s="304"/>
      <c r="AC953" s="304"/>
      <c r="AD953" s="304"/>
      <c r="AE953" s="304"/>
    </row>
    <row r="954" spans="2:31" ht="12">
      <c r="B954" s="55"/>
      <c r="AB954" s="304"/>
      <c r="AC954" s="304"/>
      <c r="AD954" s="304"/>
      <c r="AE954" s="304"/>
    </row>
    <row r="955" spans="2:31" ht="12">
      <c r="B955" s="55"/>
      <c r="AB955" s="304"/>
      <c r="AC955" s="304"/>
      <c r="AD955" s="304"/>
      <c r="AE955" s="304"/>
    </row>
    <row r="956" spans="2:31" ht="12">
      <c r="B956" s="55"/>
      <c r="AB956" s="304"/>
      <c r="AC956" s="304"/>
      <c r="AD956" s="304"/>
      <c r="AE956" s="304"/>
    </row>
    <row r="957" spans="2:31" ht="12">
      <c r="B957" s="55"/>
      <c r="AB957" s="304"/>
      <c r="AC957" s="304"/>
      <c r="AD957" s="304"/>
      <c r="AE957" s="304"/>
    </row>
    <row r="958" spans="2:31" ht="12">
      <c r="B958" s="55"/>
      <c r="AB958" s="304"/>
      <c r="AC958" s="304"/>
      <c r="AD958" s="304"/>
      <c r="AE958" s="304"/>
    </row>
    <row r="959" spans="2:31" ht="12">
      <c r="B959" s="55"/>
      <c r="AB959" s="304"/>
      <c r="AC959" s="304"/>
      <c r="AD959" s="304"/>
      <c r="AE959" s="304"/>
    </row>
    <row r="960" spans="2:31" ht="12">
      <c r="B960" s="55"/>
      <c r="AB960" s="304"/>
      <c r="AC960" s="304"/>
      <c r="AD960" s="304"/>
      <c r="AE960" s="304"/>
    </row>
    <row r="961" spans="2:31" ht="12">
      <c r="B961" s="55"/>
      <c r="AB961" s="304"/>
      <c r="AC961" s="304"/>
      <c r="AD961" s="304"/>
      <c r="AE961" s="304"/>
    </row>
    <row r="962" spans="2:31" ht="12">
      <c r="B962" s="55"/>
      <c r="AB962" s="304"/>
      <c r="AC962" s="304"/>
      <c r="AD962" s="304"/>
      <c r="AE962" s="304"/>
    </row>
    <row r="963" spans="2:31" ht="12">
      <c r="B963" s="55"/>
      <c r="AB963" s="304"/>
      <c r="AC963" s="304"/>
      <c r="AD963" s="304"/>
      <c r="AE963" s="304"/>
    </row>
    <row r="964" spans="2:31" ht="12">
      <c r="B964" s="55"/>
      <c r="AB964" s="304"/>
      <c r="AC964" s="304"/>
      <c r="AD964" s="304"/>
      <c r="AE964" s="304"/>
    </row>
    <row r="965" spans="2:31" ht="12">
      <c r="B965" s="55"/>
      <c r="AB965" s="304"/>
      <c r="AC965" s="304"/>
      <c r="AD965" s="304"/>
      <c r="AE965" s="304"/>
    </row>
    <row r="966" spans="2:31" ht="12">
      <c r="B966" s="55"/>
      <c r="AB966" s="304"/>
      <c r="AC966" s="304"/>
      <c r="AD966" s="304"/>
      <c r="AE966" s="304"/>
    </row>
    <row r="967" spans="2:31" ht="12">
      <c r="B967" s="55"/>
      <c r="AB967" s="304"/>
      <c r="AC967" s="304"/>
      <c r="AD967" s="304"/>
      <c r="AE967" s="304"/>
    </row>
    <row r="968" spans="2:31" ht="12">
      <c r="B968" s="55"/>
      <c r="AB968" s="304"/>
      <c r="AC968" s="304"/>
      <c r="AD968" s="304"/>
      <c r="AE968" s="304"/>
    </row>
    <row r="969" spans="2:31" ht="12">
      <c r="B969" s="55"/>
      <c r="AB969" s="304"/>
      <c r="AC969" s="304"/>
      <c r="AD969" s="304"/>
      <c r="AE969" s="304"/>
    </row>
    <row r="970" spans="2:31" ht="12">
      <c r="B970" s="55"/>
      <c r="AB970" s="304"/>
      <c r="AC970" s="304"/>
      <c r="AD970" s="304"/>
      <c r="AE970" s="304"/>
    </row>
    <row r="971" spans="2:31" ht="12">
      <c r="B971" s="55"/>
      <c r="AB971" s="304"/>
      <c r="AC971" s="304"/>
      <c r="AD971" s="304"/>
      <c r="AE971" s="304"/>
    </row>
    <row r="972" spans="2:31" ht="12">
      <c r="B972" s="55"/>
      <c r="AB972" s="304"/>
      <c r="AC972" s="304"/>
      <c r="AD972" s="304"/>
      <c r="AE972" s="304"/>
    </row>
    <row r="973" spans="2:31" ht="12">
      <c r="B973" s="55"/>
      <c r="AB973" s="304"/>
      <c r="AC973" s="304"/>
      <c r="AD973" s="304"/>
      <c r="AE973" s="304"/>
    </row>
    <row r="974" spans="2:31" ht="12">
      <c r="B974" s="55"/>
      <c r="AB974" s="304"/>
      <c r="AC974" s="304"/>
      <c r="AD974" s="304"/>
      <c r="AE974" s="304"/>
    </row>
    <row r="975" spans="2:31" ht="12">
      <c r="B975" s="55"/>
      <c r="AB975" s="304"/>
      <c r="AC975" s="304"/>
      <c r="AD975" s="304"/>
      <c r="AE975" s="304"/>
    </row>
    <row r="976" spans="2:31" ht="12">
      <c r="B976" s="55"/>
      <c r="AB976" s="304"/>
      <c r="AC976" s="304"/>
      <c r="AD976" s="304"/>
      <c r="AE976" s="304"/>
    </row>
    <row r="977" spans="2:31" ht="12">
      <c r="B977" s="55"/>
      <c r="AB977" s="304"/>
      <c r="AC977" s="304"/>
      <c r="AD977" s="304"/>
      <c r="AE977" s="304"/>
    </row>
    <row r="978" spans="2:31" ht="12">
      <c r="B978" s="55"/>
      <c r="AB978" s="304"/>
      <c r="AC978" s="304"/>
      <c r="AD978" s="304"/>
      <c r="AE978" s="304"/>
    </row>
    <row r="979" spans="2:31" ht="12">
      <c r="B979" s="55"/>
      <c r="AB979" s="304"/>
      <c r="AC979" s="304"/>
      <c r="AD979" s="304"/>
      <c r="AE979" s="304"/>
    </row>
    <row r="980" spans="2:31" ht="12">
      <c r="B980" s="55"/>
      <c r="AB980" s="304"/>
      <c r="AC980" s="304"/>
      <c r="AD980" s="304"/>
      <c r="AE980" s="304"/>
    </row>
    <row r="981" spans="2:31" ht="12">
      <c r="B981" s="55"/>
      <c r="AB981" s="304"/>
      <c r="AC981" s="304"/>
      <c r="AD981" s="304"/>
      <c r="AE981" s="304"/>
    </row>
    <row r="982" spans="2:31" ht="12">
      <c r="B982" s="55"/>
      <c r="AB982" s="304"/>
      <c r="AC982" s="304"/>
      <c r="AD982" s="304"/>
      <c r="AE982" s="304"/>
    </row>
    <row r="983" spans="2:31" ht="12">
      <c r="B983" s="55"/>
      <c r="AB983" s="304"/>
      <c r="AC983" s="304"/>
      <c r="AD983" s="304"/>
      <c r="AE983" s="304"/>
    </row>
    <row r="984" spans="2:31" ht="12">
      <c r="B984" s="55"/>
      <c r="AB984" s="304"/>
      <c r="AC984" s="304"/>
      <c r="AD984" s="304"/>
      <c r="AE984" s="304"/>
    </row>
    <row r="985" spans="2:31" ht="12">
      <c r="B985" s="55"/>
      <c r="AB985" s="304"/>
      <c r="AC985" s="304"/>
      <c r="AD985" s="304"/>
      <c r="AE985" s="304"/>
    </row>
    <row r="986" spans="2:31" ht="12">
      <c r="B986" s="55"/>
      <c r="AB986" s="304"/>
      <c r="AC986" s="304"/>
      <c r="AD986" s="304"/>
      <c r="AE986" s="304"/>
    </row>
    <row r="987" spans="2:31" ht="12">
      <c r="B987" s="55"/>
      <c r="AB987" s="304"/>
      <c r="AC987" s="304"/>
      <c r="AD987" s="304"/>
      <c r="AE987" s="304"/>
    </row>
    <row r="988" spans="2:31" ht="12">
      <c r="B988" s="55"/>
      <c r="AB988" s="304"/>
      <c r="AC988" s="304"/>
      <c r="AD988" s="304"/>
      <c r="AE988" s="304"/>
    </row>
    <row r="989" spans="2:31" ht="12">
      <c r="B989" s="55"/>
      <c r="AB989" s="304"/>
      <c r="AC989" s="304"/>
      <c r="AD989" s="304"/>
      <c r="AE989" s="304"/>
    </row>
    <row r="990" spans="2:31" ht="12">
      <c r="B990" s="55"/>
      <c r="AB990" s="304"/>
      <c r="AC990" s="304"/>
      <c r="AD990" s="304"/>
      <c r="AE990" s="304"/>
    </row>
    <row r="991" spans="2:31" ht="12">
      <c r="B991" s="55"/>
      <c r="AB991" s="304"/>
      <c r="AC991" s="304"/>
      <c r="AD991" s="304"/>
      <c r="AE991" s="304"/>
    </row>
    <row r="992" spans="2:31" ht="12">
      <c r="B992" s="55"/>
      <c r="AB992" s="304"/>
      <c r="AC992" s="304"/>
      <c r="AD992" s="304"/>
      <c r="AE992" s="304"/>
    </row>
    <row r="993" spans="2:31" ht="12">
      <c r="B993" s="55"/>
      <c r="AB993" s="304"/>
      <c r="AC993" s="304"/>
      <c r="AD993" s="304"/>
      <c r="AE993" s="304"/>
    </row>
    <row r="994" spans="2:31" ht="12">
      <c r="B994" s="55"/>
      <c r="AB994" s="304"/>
      <c r="AC994" s="304"/>
      <c r="AD994" s="304"/>
      <c r="AE994" s="304"/>
    </row>
    <row r="995" spans="2:31" ht="12">
      <c r="B995" s="55"/>
      <c r="AB995" s="304"/>
      <c r="AC995" s="304"/>
      <c r="AD995" s="304"/>
      <c r="AE995" s="304"/>
    </row>
    <row r="996" spans="2:31" ht="12">
      <c r="B996" s="55"/>
      <c r="AB996" s="304"/>
      <c r="AC996" s="304"/>
      <c r="AD996" s="304"/>
      <c r="AE996" s="304"/>
    </row>
    <row r="997" spans="2:31" ht="12">
      <c r="B997" s="55"/>
      <c r="AB997" s="304"/>
      <c r="AC997" s="304"/>
      <c r="AD997" s="304"/>
      <c r="AE997" s="304"/>
    </row>
    <row r="998" spans="2:31" ht="12">
      <c r="B998" s="55"/>
      <c r="AB998" s="304"/>
      <c r="AC998" s="304"/>
      <c r="AD998" s="304"/>
      <c r="AE998" s="304"/>
    </row>
    <row r="999" spans="2:31" ht="12">
      <c r="B999" s="55"/>
      <c r="AB999" s="304"/>
      <c r="AC999" s="304"/>
      <c r="AD999" s="304"/>
      <c r="AE999" s="304"/>
    </row>
    <row r="1000" spans="2:31" ht="12">
      <c r="B1000" s="55"/>
      <c r="AB1000" s="304"/>
      <c r="AC1000" s="304"/>
      <c r="AD1000" s="304"/>
      <c r="AE1000" s="304"/>
    </row>
    <row r="1001" spans="2:31" ht="12">
      <c r="B1001" s="55"/>
      <c r="AB1001" s="304"/>
      <c r="AC1001" s="304"/>
      <c r="AD1001" s="304"/>
      <c r="AE1001" s="304"/>
    </row>
    <row r="1002" spans="2:31" ht="12">
      <c r="B1002" s="55"/>
      <c r="AB1002" s="304"/>
      <c r="AC1002" s="304"/>
      <c r="AD1002" s="304"/>
      <c r="AE1002" s="304"/>
    </row>
    <row r="1003" spans="2:31" ht="12">
      <c r="B1003" s="55"/>
      <c r="AB1003" s="304"/>
      <c r="AC1003" s="304"/>
      <c r="AD1003" s="304"/>
      <c r="AE1003" s="304"/>
    </row>
    <row r="1004" spans="2:31" ht="12">
      <c r="B1004" s="55"/>
      <c r="AB1004" s="304"/>
      <c r="AC1004" s="304"/>
      <c r="AD1004" s="304"/>
      <c r="AE1004" s="304"/>
    </row>
    <row r="1005" spans="2:31" ht="12">
      <c r="B1005" s="55"/>
      <c r="AB1005" s="304"/>
      <c r="AC1005" s="304"/>
      <c r="AD1005" s="304"/>
      <c r="AE1005" s="304"/>
    </row>
    <row r="1006" spans="2:31" ht="12">
      <c r="B1006" s="55"/>
      <c r="AB1006" s="304"/>
      <c r="AC1006" s="304"/>
      <c r="AD1006" s="304"/>
      <c r="AE1006" s="304"/>
    </row>
    <row r="1007" spans="2:31" ht="12">
      <c r="B1007" s="55"/>
      <c r="AB1007" s="304"/>
      <c r="AC1007" s="304"/>
      <c r="AD1007" s="304"/>
      <c r="AE1007" s="304"/>
    </row>
    <row r="1008" spans="2:31" ht="12">
      <c r="B1008" s="55"/>
      <c r="AB1008" s="304"/>
      <c r="AC1008" s="304"/>
      <c r="AD1008" s="304"/>
      <c r="AE1008" s="304"/>
    </row>
    <row r="1009" spans="2:31" ht="12">
      <c r="B1009" s="55"/>
      <c r="AB1009" s="304"/>
      <c r="AC1009" s="304"/>
      <c r="AD1009" s="304"/>
      <c r="AE1009" s="304"/>
    </row>
    <row r="1010" spans="2:31" ht="12">
      <c r="B1010" s="55"/>
      <c r="AB1010" s="304"/>
      <c r="AC1010" s="304"/>
      <c r="AD1010" s="304"/>
      <c r="AE1010" s="304"/>
    </row>
    <row r="1011" spans="2:31" ht="12">
      <c r="B1011" s="55"/>
      <c r="AB1011" s="304"/>
      <c r="AC1011" s="304"/>
      <c r="AD1011" s="304"/>
      <c r="AE1011" s="304"/>
    </row>
    <row r="1012" spans="2:31" ht="12">
      <c r="B1012" s="55"/>
      <c r="AB1012" s="304"/>
      <c r="AC1012" s="304"/>
      <c r="AD1012" s="304"/>
      <c r="AE1012" s="304"/>
    </row>
    <row r="1013" spans="2:31" ht="12">
      <c r="B1013" s="55"/>
      <c r="AB1013" s="304"/>
      <c r="AC1013" s="304"/>
      <c r="AD1013" s="304"/>
      <c r="AE1013" s="304"/>
    </row>
    <row r="1014" spans="2:31" ht="12">
      <c r="B1014" s="55"/>
      <c r="AB1014" s="304"/>
      <c r="AC1014" s="304"/>
      <c r="AD1014" s="304"/>
      <c r="AE1014" s="304"/>
    </row>
    <row r="1015" spans="2:31" ht="12">
      <c r="B1015" s="55"/>
      <c r="AB1015" s="304"/>
      <c r="AC1015" s="304"/>
      <c r="AD1015" s="304"/>
      <c r="AE1015" s="304"/>
    </row>
    <row r="1016" spans="2:31" ht="12">
      <c r="B1016" s="55"/>
      <c r="AB1016" s="304"/>
      <c r="AC1016" s="304"/>
      <c r="AD1016" s="304"/>
      <c r="AE1016" s="304"/>
    </row>
    <row r="1017" spans="2:31" ht="12">
      <c r="B1017" s="55"/>
      <c r="AB1017" s="304"/>
      <c r="AC1017" s="304"/>
      <c r="AD1017" s="304"/>
      <c r="AE1017" s="304"/>
    </row>
    <row r="1018" spans="2:31" ht="12">
      <c r="B1018" s="55"/>
      <c r="AB1018" s="304"/>
      <c r="AC1018" s="304"/>
      <c r="AD1018" s="304"/>
      <c r="AE1018" s="304"/>
    </row>
    <row r="1019" spans="2:31" ht="12">
      <c r="B1019" s="55"/>
      <c r="AB1019" s="304"/>
      <c r="AC1019" s="304"/>
      <c r="AD1019" s="304"/>
      <c r="AE1019" s="304"/>
    </row>
    <row r="1020" spans="2:31" ht="12">
      <c r="B1020" s="55"/>
      <c r="AB1020" s="304"/>
      <c r="AC1020" s="304"/>
      <c r="AD1020" s="304"/>
      <c r="AE1020" s="304"/>
    </row>
    <row r="1021" spans="2:31" ht="12">
      <c r="B1021" s="55"/>
      <c r="AB1021" s="304"/>
      <c r="AC1021" s="304"/>
      <c r="AD1021" s="304"/>
      <c r="AE1021" s="304"/>
    </row>
    <row r="1022" spans="2:31" ht="12">
      <c r="B1022" s="55"/>
      <c r="AB1022" s="304"/>
      <c r="AC1022" s="304"/>
      <c r="AD1022" s="304"/>
      <c r="AE1022" s="304"/>
    </row>
    <row r="1023" spans="2:31" ht="12">
      <c r="B1023" s="55"/>
      <c r="AB1023" s="304"/>
      <c r="AC1023" s="304"/>
      <c r="AD1023" s="304"/>
      <c r="AE1023" s="304"/>
    </row>
    <row r="1024" spans="2:31" ht="12">
      <c r="B1024" s="55"/>
      <c r="AB1024" s="304"/>
      <c r="AC1024" s="304"/>
      <c r="AD1024" s="304"/>
      <c r="AE1024" s="304"/>
    </row>
    <row r="1025" spans="2:31" ht="12">
      <c r="B1025" s="55"/>
      <c r="AB1025" s="304"/>
      <c r="AC1025" s="304"/>
      <c r="AD1025" s="304"/>
      <c r="AE1025" s="304"/>
    </row>
    <row r="1026" spans="2:31" ht="12">
      <c r="B1026" s="55"/>
      <c r="AB1026" s="304"/>
      <c r="AC1026" s="304"/>
      <c r="AD1026" s="304"/>
      <c r="AE1026" s="304"/>
    </row>
    <row r="1027" spans="2:31" ht="12">
      <c r="B1027" s="55"/>
      <c r="AB1027" s="304"/>
      <c r="AC1027" s="304"/>
      <c r="AD1027" s="304"/>
      <c r="AE1027" s="304"/>
    </row>
    <row r="1028" spans="2:31" ht="12">
      <c r="B1028" s="55"/>
      <c r="AB1028" s="304"/>
      <c r="AC1028" s="304"/>
      <c r="AD1028" s="304"/>
      <c r="AE1028" s="304"/>
    </row>
    <row r="1029" spans="2:31" ht="12">
      <c r="B1029" s="55"/>
      <c r="AB1029" s="304"/>
      <c r="AC1029" s="304"/>
      <c r="AD1029" s="304"/>
      <c r="AE1029" s="304"/>
    </row>
    <row r="1030" spans="2:31" ht="12">
      <c r="B1030" s="55"/>
      <c r="AB1030" s="304"/>
      <c r="AC1030" s="304"/>
      <c r="AD1030" s="304"/>
      <c r="AE1030" s="304"/>
    </row>
    <row r="1031" spans="2:31" ht="12">
      <c r="B1031" s="55"/>
      <c r="AB1031" s="304"/>
      <c r="AC1031" s="304"/>
      <c r="AD1031" s="304"/>
      <c r="AE1031" s="304"/>
    </row>
    <row r="1032" spans="2:31" ht="12">
      <c r="B1032" s="55"/>
      <c r="AB1032" s="304"/>
      <c r="AC1032" s="304"/>
      <c r="AD1032" s="304"/>
      <c r="AE1032" s="304"/>
    </row>
    <row r="1033" spans="2:31" ht="12">
      <c r="B1033" s="55"/>
      <c r="AB1033" s="304"/>
      <c r="AC1033" s="304"/>
      <c r="AD1033" s="304"/>
      <c r="AE1033" s="304"/>
    </row>
    <row r="1034" spans="2:31" ht="12">
      <c r="B1034" s="55"/>
      <c r="AB1034" s="304"/>
      <c r="AC1034" s="304"/>
      <c r="AD1034" s="304"/>
      <c r="AE1034" s="304"/>
    </row>
    <row r="1035" spans="2:31" ht="12">
      <c r="B1035" s="55"/>
      <c r="AB1035" s="304"/>
      <c r="AC1035" s="304"/>
      <c r="AD1035" s="304"/>
      <c r="AE1035" s="304"/>
    </row>
    <row r="1036" spans="2:31" ht="12">
      <c r="B1036" s="55"/>
      <c r="AB1036" s="304"/>
      <c r="AC1036" s="304"/>
      <c r="AD1036" s="304"/>
      <c r="AE1036" s="304"/>
    </row>
    <row r="1037" spans="2:31" ht="12">
      <c r="B1037" s="55"/>
      <c r="AB1037" s="304"/>
      <c r="AC1037" s="304"/>
      <c r="AD1037" s="304"/>
      <c r="AE1037" s="304"/>
    </row>
    <row r="1038" spans="2:31" ht="12">
      <c r="B1038" s="55"/>
      <c r="AB1038" s="304"/>
      <c r="AC1038" s="304"/>
      <c r="AD1038" s="304"/>
      <c r="AE1038" s="304"/>
    </row>
    <row r="1039" spans="2:31" ht="12">
      <c r="B1039" s="55"/>
      <c r="AB1039" s="304"/>
      <c r="AC1039" s="304"/>
      <c r="AD1039" s="304"/>
      <c r="AE1039" s="304"/>
    </row>
    <row r="1040" spans="2:31" ht="12">
      <c r="B1040" s="55"/>
      <c r="AB1040" s="304"/>
      <c r="AC1040" s="304"/>
      <c r="AD1040" s="304"/>
      <c r="AE1040" s="304"/>
    </row>
    <row r="1041" spans="2:31" ht="12">
      <c r="B1041" s="55"/>
      <c r="AB1041" s="304"/>
      <c r="AC1041" s="304"/>
      <c r="AD1041" s="304"/>
      <c r="AE1041" s="304"/>
    </row>
    <row r="1042" spans="2:31" ht="12">
      <c r="B1042" s="55"/>
      <c r="AB1042" s="304"/>
      <c r="AC1042" s="304"/>
      <c r="AD1042" s="304"/>
      <c r="AE1042" s="304"/>
    </row>
    <row r="1043" spans="2:31" ht="12">
      <c r="B1043" s="55"/>
      <c r="AB1043" s="304"/>
      <c r="AC1043" s="304"/>
      <c r="AD1043" s="304"/>
      <c r="AE1043" s="304"/>
    </row>
    <row r="1044" spans="2:31" ht="12">
      <c r="B1044" s="55"/>
      <c r="AB1044" s="304"/>
      <c r="AC1044" s="304"/>
      <c r="AD1044" s="304"/>
      <c r="AE1044" s="304"/>
    </row>
    <row r="1045" spans="2:31" ht="12">
      <c r="B1045" s="55"/>
      <c r="AB1045" s="304"/>
      <c r="AC1045" s="304"/>
      <c r="AD1045" s="304"/>
      <c r="AE1045" s="304"/>
    </row>
    <row r="1046" spans="2:31" ht="12">
      <c r="B1046" s="55"/>
      <c r="AB1046" s="304"/>
      <c r="AC1046" s="304"/>
      <c r="AD1046" s="304"/>
      <c r="AE1046" s="304"/>
    </row>
    <row r="1047" spans="2:31" ht="12">
      <c r="B1047" s="55"/>
      <c r="AB1047" s="304"/>
      <c r="AC1047" s="304"/>
      <c r="AD1047" s="304"/>
      <c r="AE1047" s="304"/>
    </row>
    <row r="1048" spans="2:31" ht="12">
      <c r="B1048" s="55"/>
      <c r="AB1048" s="304"/>
      <c r="AC1048" s="304"/>
      <c r="AD1048" s="304"/>
      <c r="AE1048" s="304"/>
    </row>
    <row r="1049" spans="2:31" ht="12">
      <c r="B1049" s="55"/>
      <c r="AB1049" s="304"/>
      <c r="AC1049" s="304"/>
      <c r="AD1049" s="304"/>
      <c r="AE1049" s="304"/>
    </row>
    <row r="1050" spans="2:31" ht="12">
      <c r="B1050" s="55"/>
      <c r="AB1050" s="304"/>
      <c r="AC1050" s="304"/>
      <c r="AD1050" s="304"/>
      <c r="AE1050" s="304"/>
    </row>
    <row r="1051" spans="2:31" ht="12">
      <c r="B1051" s="55"/>
      <c r="AB1051" s="304"/>
      <c r="AC1051" s="304"/>
      <c r="AD1051" s="304"/>
      <c r="AE1051" s="304"/>
    </row>
    <row r="1052" spans="2:31" ht="12">
      <c r="B1052" s="55"/>
      <c r="AB1052" s="304"/>
      <c r="AC1052" s="304"/>
      <c r="AD1052" s="304"/>
      <c r="AE1052" s="304"/>
    </row>
    <row r="1053" spans="2:31" ht="12">
      <c r="B1053" s="55"/>
      <c r="AB1053" s="304"/>
      <c r="AC1053" s="304"/>
      <c r="AD1053" s="304"/>
      <c r="AE1053" s="304"/>
    </row>
    <row r="1054" spans="2:31" ht="12">
      <c r="B1054" s="55"/>
      <c r="AB1054" s="304"/>
      <c r="AC1054" s="304"/>
      <c r="AD1054" s="304"/>
      <c r="AE1054" s="304"/>
    </row>
    <row r="1055" spans="2:31" ht="12">
      <c r="B1055" s="55"/>
      <c r="AB1055" s="304"/>
      <c r="AC1055" s="304"/>
      <c r="AD1055" s="304"/>
      <c r="AE1055" s="304"/>
    </row>
    <row r="1056" spans="2:31" ht="12">
      <c r="B1056" s="55"/>
      <c r="AB1056" s="304"/>
      <c r="AC1056" s="304"/>
      <c r="AD1056" s="304"/>
      <c r="AE1056" s="304"/>
    </row>
    <row r="1057" spans="2:31" ht="12">
      <c r="B1057" s="55"/>
      <c r="AB1057" s="304"/>
      <c r="AC1057" s="304"/>
      <c r="AD1057" s="304"/>
      <c r="AE1057" s="304"/>
    </row>
    <row r="1058" spans="2:31" ht="12">
      <c r="B1058" s="55"/>
      <c r="AB1058" s="304"/>
      <c r="AC1058" s="304"/>
      <c r="AD1058" s="304"/>
      <c r="AE1058" s="304"/>
    </row>
    <row r="1059" spans="2:31" ht="12">
      <c r="B1059" s="55"/>
      <c r="AB1059" s="304"/>
      <c r="AC1059" s="304"/>
      <c r="AD1059" s="304"/>
      <c r="AE1059" s="304"/>
    </row>
    <row r="1060" spans="2:31" ht="12">
      <c r="B1060" s="55"/>
      <c r="AB1060" s="304"/>
      <c r="AC1060" s="304"/>
      <c r="AD1060" s="304"/>
      <c r="AE1060" s="304"/>
    </row>
    <row r="1061" spans="2:31" ht="12">
      <c r="B1061" s="55"/>
      <c r="AB1061" s="304"/>
      <c r="AC1061" s="304"/>
      <c r="AD1061" s="304"/>
      <c r="AE1061" s="304"/>
    </row>
    <row r="1062" spans="2:31" ht="12">
      <c r="B1062" s="55"/>
      <c r="AB1062" s="304"/>
      <c r="AC1062" s="304"/>
      <c r="AD1062" s="304"/>
      <c r="AE1062" s="304"/>
    </row>
    <row r="1063" spans="2:31" ht="12">
      <c r="B1063" s="55"/>
      <c r="AB1063" s="304"/>
      <c r="AC1063" s="304"/>
      <c r="AD1063" s="304"/>
      <c r="AE1063" s="304"/>
    </row>
    <row r="1064" spans="2:31" ht="12">
      <c r="B1064" s="55"/>
      <c r="AB1064" s="304"/>
      <c r="AC1064" s="304"/>
      <c r="AD1064" s="304"/>
      <c r="AE1064" s="304"/>
    </row>
    <row r="1065" spans="2:31" ht="12">
      <c r="B1065" s="55"/>
      <c r="AB1065" s="304"/>
      <c r="AC1065" s="304"/>
      <c r="AD1065" s="304"/>
      <c r="AE1065" s="304"/>
    </row>
    <row r="1066" spans="2:31" ht="12">
      <c r="B1066" s="55"/>
      <c r="AB1066" s="304"/>
      <c r="AC1066" s="304"/>
      <c r="AD1066" s="304"/>
      <c r="AE1066" s="304"/>
    </row>
    <row r="1067" spans="2:31" ht="12">
      <c r="B1067" s="55"/>
      <c r="AB1067" s="304"/>
      <c r="AC1067" s="304"/>
      <c r="AD1067" s="304"/>
      <c r="AE1067" s="304"/>
    </row>
    <row r="1068" spans="2:31" ht="12">
      <c r="B1068" s="55"/>
      <c r="AB1068" s="304"/>
      <c r="AC1068" s="304"/>
      <c r="AD1068" s="304"/>
      <c r="AE1068" s="304"/>
    </row>
    <row r="1069" spans="2:31" ht="12">
      <c r="B1069" s="55"/>
      <c r="AB1069" s="304"/>
      <c r="AC1069" s="304"/>
      <c r="AD1069" s="304"/>
      <c r="AE1069" s="304"/>
    </row>
    <row r="1070" spans="2:31" ht="12">
      <c r="B1070" s="55"/>
      <c r="AB1070" s="304"/>
      <c r="AC1070" s="304"/>
      <c r="AD1070" s="304"/>
      <c r="AE1070" s="304"/>
    </row>
    <row r="1071" spans="2:31" ht="12">
      <c r="B1071" s="55"/>
      <c r="AB1071" s="304"/>
      <c r="AC1071" s="304"/>
      <c r="AD1071" s="304"/>
      <c r="AE1071" s="304"/>
    </row>
    <row r="1072" spans="2:31" ht="12">
      <c r="B1072" s="55"/>
      <c r="AB1072" s="304"/>
      <c r="AC1072" s="304"/>
      <c r="AD1072" s="304"/>
      <c r="AE1072" s="304"/>
    </row>
    <row r="1073" spans="2:31" ht="12">
      <c r="B1073" s="55"/>
      <c r="AB1073" s="304"/>
      <c r="AC1073" s="304"/>
      <c r="AD1073" s="304"/>
      <c r="AE1073" s="304"/>
    </row>
    <row r="1074" spans="2:31" ht="12">
      <c r="B1074" s="55"/>
      <c r="AB1074" s="304"/>
      <c r="AC1074" s="304"/>
      <c r="AD1074" s="304"/>
      <c r="AE1074" s="304"/>
    </row>
    <row r="1075" spans="2:31" ht="12">
      <c r="B1075" s="55"/>
      <c r="AB1075" s="304"/>
      <c r="AC1075" s="304"/>
      <c r="AD1075" s="304"/>
      <c r="AE1075" s="304"/>
    </row>
    <row r="1076" spans="2:31" ht="12">
      <c r="B1076" s="55"/>
      <c r="AB1076" s="304"/>
      <c r="AC1076" s="304"/>
      <c r="AD1076" s="304"/>
      <c r="AE1076" s="304"/>
    </row>
    <row r="1077" spans="2:31" ht="12">
      <c r="B1077" s="55"/>
      <c r="AB1077" s="304"/>
      <c r="AC1077" s="304"/>
      <c r="AD1077" s="304"/>
      <c r="AE1077" s="304"/>
    </row>
    <row r="1078" spans="2:31" ht="12">
      <c r="B1078" s="55"/>
      <c r="AB1078" s="304"/>
      <c r="AC1078" s="304"/>
      <c r="AD1078" s="304"/>
      <c r="AE1078" s="304"/>
    </row>
    <row r="1079" spans="2:31" ht="12">
      <c r="B1079" s="55"/>
      <c r="AB1079" s="304"/>
      <c r="AC1079" s="304"/>
      <c r="AD1079" s="304"/>
      <c r="AE1079" s="304"/>
    </row>
    <row r="1080" spans="2:31" ht="12">
      <c r="B1080" s="55"/>
      <c r="AB1080" s="304"/>
      <c r="AC1080" s="304"/>
      <c r="AD1080" s="304"/>
      <c r="AE1080" s="304"/>
    </row>
    <row r="1081" spans="2:31" ht="12">
      <c r="B1081" s="55"/>
      <c r="AB1081" s="304"/>
      <c r="AC1081" s="304"/>
      <c r="AD1081" s="304"/>
      <c r="AE1081" s="304"/>
    </row>
    <row r="1082" spans="2:31" ht="12">
      <c r="B1082" s="55"/>
      <c r="AB1082" s="304"/>
      <c r="AC1082" s="304"/>
      <c r="AD1082" s="304"/>
      <c r="AE1082" s="304"/>
    </row>
    <row r="1083" spans="2:31" ht="12">
      <c r="B1083" s="55"/>
      <c r="AB1083" s="304"/>
      <c r="AC1083" s="304"/>
      <c r="AD1083" s="304"/>
      <c r="AE1083" s="304"/>
    </row>
    <row r="1084" spans="2:31" ht="12">
      <c r="B1084" s="55"/>
      <c r="AB1084" s="304"/>
      <c r="AC1084" s="304"/>
      <c r="AD1084" s="304"/>
      <c r="AE1084" s="304"/>
    </row>
    <row r="1085" spans="2:31" ht="12">
      <c r="B1085" s="55"/>
      <c r="AB1085" s="304"/>
      <c r="AC1085" s="304"/>
      <c r="AD1085" s="304"/>
      <c r="AE1085" s="304"/>
    </row>
    <row r="1086" spans="2:31" ht="12">
      <c r="B1086" s="55"/>
      <c r="AB1086" s="304"/>
      <c r="AC1086" s="304"/>
      <c r="AD1086" s="304"/>
      <c r="AE1086" s="304"/>
    </row>
    <row r="1087" spans="2:31" ht="12">
      <c r="B1087" s="55"/>
      <c r="AB1087" s="304"/>
      <c r="AC1087" s="304"/>
      <c r="AD1087" s="304"/>
      <c r="AE1087" s="304"/>
    </row>
    <row r="1088" spans="2:31" ht="12">
      <c r="B1088" s="55"/>
      <c r="AB1088" s="304"/>
      <c r="AC1088" s="304"/>
      <c r="AD1088" s="304"/>
      <c r="AE1088" s="304"/>
    </row>
    <row r="1089" spans="2:31" ht="12">
      <c r="B1089" s="55"/>
      <c r="AB1089" s="304"/>
      <c r="AC1089" s="304"/>
      <c r="AD1089" s="304"/>
      <c r="AE1089" s="304"/>
    </row>
    <row r="1090" spans="2:31" ht="12">
      <c r="B1090" s="55"/>
      <c r="AB1090" s="304"/>
      <c r="AC1090" s="304"/>
      <c r="AD1090" s="304"/>
      <c r="AE1090" s="304"/>
    </row>
    <row r="1091" spans="2:31" ht="12">
      <c r="B1091" s="55"/>
      <c r="AB1091" s="304"/>
      <c r="AC1091" s="304"/>
      <c r="AD1091" s="304"/>
      <c r="AE1091" s="304"/>
    </row>
    <row r="1092" spans="2:31" ht="12">
      <c r="B1092" s="55"/>
      <c r="AB1092" s="304"/>
      <c r="AC1092" s="304"/>
      <c r="AD1092" s="304"/>
      <c r="AE1092" s="304"/>
    </row>
    <row r="1093" spans="2:31" ht="12">
      <c r="B1093" s="55"/>
      <c r="AB1093" s="304"/>
      <c r="AC1093" s="304"/>
      <c r="AD1093" s="304"/>
      <c r="AE1093" s="304"/>
    </row>
    <row r="1094" spans="2:31" ht="12">
      <c r="B1094" s="55"/>
      <c r="AB1094" s="304"/>
      <c r="AC1094" s="304"/>
      <c r="AD1094" s="304"/>
      <c r="AE1094" s="304"/>
    </row>
    <row r="1095" spans="2:31" ht="12">
      <c r="B1095" s="55"/>
      <c r="AB1095" s="304"/>
      <c r="AC1095" s="304"/>
      <c r="AD1095" s="304"/>
      <c r="AE1095" s="304"/>
    </row>
    <row r="1096" spans="2:31" ht="12">
      <c r="B1096" s="55"/>
      <c r="AB1096" s="304"/>
      <c r="AC1096" s="304"/>
      <c r="AD1096" s="304"/>
      <c r="AE1096" s="304"/>
    </row>
    <row r="1097" spans="2:31" ht="12">
      <c r="B1097" s="55"/>
      <c r="AB1097" s="304"/>
      <c r="AC1097" s="304"/>
      <c r="AD1097" s="304"/>
      <c r="AE1097" s="304"/>
    </row>
    <row r="1098" spans="2:31" ht="12">
      <c r="B1098" s="55"/>
      <c r="AB1098" s="304"/>
      <c r="AC1098" s="304"/>
      <c r="AD1098" s="304"/>
      <c r="AE1098" s="304"/>
    </row>
    <row r="1099" spans="2:31" ht="12">
      <c r="B1099" s="55"/>
      <c r="AB1099" s="304"/>
      <c r="AC1099" s="304"/>
      <c r="AD1099" s="304"/>
      <c r="AE1099" s="304"/>
    </row>
    <row r="1100" spans="2:31" ht="12">
      <c r="B1100" s="55"/>
      <c r="AB1100" s="304"/>
      <c r="AC1100" s="304"/>
      <c r="AD1100" s="304"/>
      <c r="AE1100" s="304"/>
    </row>
    <row r="1101" spans="2:31" ht="12">
      <c r="B1101" s="55"/>
      <c r="AB1101" s="304"/>
      <c r="AC1101" s="304"/>
      <c r="AD1101" s="304"/>
      <c r="AE1101" s="304"/>
    </row>
    <row r="1102" spans="2:31" ht="12">
      <c r="B1102" s="55"/>
      <c r="AB1102" s="304"/>
      <c r="AC1102" s="304"/>
      <c r="AD1102" s="304"/>
      <c r="AE1102" s="304"/>
    </row>
    <row r="1103" spans="2:31" ht="12">
      <c r="B1103" s="55"/>
      <c r="AB1103" s="304"/>
      <c r="AC1103" s="304"/>
      <c r="AD1103" s="304"/>
      <c r="AE1103" s="304"/>
    </row>
    <row r="1104" spans="2:31" ht="12">
      <c r="B1104" s="55"/>
      <c r="AB1104" s="304"/>
      <c r="AC1104" s="304"/>
      <c r="AD1104" s="304"/>
      <c r="AE1104" s="304"/>
    </row>
    <row r="1105" spans="2:31" ht="12">
      <c r="B1105" s="55"/>
      <c r="AB1105" s="304"/>
      <c r="AC1105" s="304"/>
      <c r="AD1105" s="304"/>
      <c r="AE1105" s="304"/>
    </row>
    <row r="1106" spans="2:31" ht="12">
      <c r="B1106" s="55"/>
      <c r="AB1106" s="304"/>
      <c r="AC1106" s="304"/>
      <c r="AD1106" s="304"/>
      <c r="AE1106" s="304"/>
    </row>
    <row r="1107" spans="2:31" ht="12">
      <c r="B1107" s="55"/>
      <c r="AB1107" s="304"/>
      <c r="AC1107" s="304"/>
      <c r="AD1107" s="304"/>
      <c r="AE1107" s="304"/>
    </row>
    <row r="1108" spans="2:31" ht="12">
      <c r="B1108" s="55"/>
      <c r="AB1108" s="304"/>
      <c r="AC1108" s="304"/>
      <c r="AD1108" s="304"/>
      <c r="AE1108" s="304"/>
    </row>
    <row r="1109" spans="2:31" ht="12">
      <c r="B1109" s="55"/>
      <c r="AB1109" s="304"/>
      <c r="AC1109" s="304"/>
      <c r="AD1109" s="304"/>
      <c r="AE1109" s="304"/>
    </row>
    <row r="1110" spans="2:31" ht="12">
      <c r="B1110" s="55"/>
      <c r="AB1110" s="304"/>
      <c r="AC1110" s="304"/>
      <c r="AD1110" s="304"/>
      <c r="AE1110" s="304"/>
    </row>
    <row r="1111" spans="2:31" ht="12">
      <c r="B1111" s="55"/>
      <c r="AB1111" s="304"/>
      <c r="AC1111" s="304"/>
      <c r="AD1111" s="304"/>
      <c r="AE1111" s="304"/>
    </row>
    <row r="1112" spans="2:31" ht="12">
      <c r="B1112" s="55"/>
      <c r="AB1112" s="304"/>
      <c r="AC1112" s="304"/>
      <c r="AD1112" s="304"/>
      <c r="AE1112" s="304"/>
    </row>
    <row r="1113" spans="2:31" ht="12">
      <c r="B1113" s="55"/>
      <c r="AB1113" s="304"/>
      <c r="AC1113" s="304"/>
      <c r="AD1113" s="304"/>
      <c r="AE1113" s="304"/>
    </row>
    <row r="1114" spans="2:31" ht="12">
      <c r="B1114" s="55"/>
      <c r="AB1114" s="304"/>
      <c r="AC1114" s="304"/>
      <c r="AD1114" s="304"/>
      <c r="AE1114" s="304"/>
    </row>
    <row r="1115" spans="2:31" ht="12">
      <c r="B1115" s="55"/>
      <c r="AB1115" s="304"/>
      <c r="AC1115" s="304"/>
      <c r="AD1115" s="304"/>
      <c r="AE1115" s="304"/>
    </row>
    <row r="1116" spans="2:31" ht="12">
      <c r="B1116" s="55"/>
      <c r="AB1116" s="304"/>
      <c r="AC1116" s="304"/>
      <c r="AD1116" s="304"/>
      <c r="AE1116" s="304"/>
    </row>
    <row r="1117" spans="2:31" ht="12">
      <c r="B1117" s="55"/>
      <c r="AB1117" s="304"/>
      <c r="AC1117" s="304"/>
      <c r="AD1117" s="304"/>
      <c r="AE1117" s="304"/>
    </row>
    <row r="1118" spans="2:31" ht="12">
      <c r="B1118" s="55"/>
      <c r="AB1118" s="304"/>
      <c r="AC1118" s="304"/>
      <c r="AD1118" s="304"/>
      <c r="AE1118" s="304"/>
    </row>
    <row r="1119" spans="2:31" ht="12">
      <c r="B1119" s="55"/>
      <c r="AB1119" s="304"/>
      <c r="AC1119" s="304"/>
      <c r="AD1119" s="304"/>
      <c r="AE1119" s="304"/>
    </row>
    <row r="1120" spans="2:31" ht="12">
      <c r="B1120" s="55"/>
      <c r="AB1120" s="304"/>
      <c r="AC1120" s="304"/>
      <c r="AD1120" s="304"/>
      <c r="AE1120" s="304"/>
    </row>
    <row r="1121" spans="2:31" ht="12">
      <c r="B1121" s="55"/>
      <c r="AB1121" s="304"/>
      <c r="AC1121" s="304"/>
      <c r="AD1121" s="304"/>
      <c r="AE1121" s="304"/>
    </row>
    <row r="1122" spans="2:31" ht="12">
      <c r="B1122" s="55"/>
      <c r="AB1122" s="304"/>
      <c r="AC1122" s="304"/>
      <c r="AD1122" s="304"/>
      <c r="AE1122" s="304"/>
    </row>
    <row r="1123" spans="2:31" ht="12">
      <c r="B1123" s="55"/>
      <c r="AB1123" s="304"/>
      <c r="AC1123" s="304"/>
      <c r="AD1123" s="304"/>
      <c r="AE1123" s="304"/>
    </row>
    <row r="1124" spans="2:31" ht="12">
      <c r="B1124" s="55"/>
      <c r="AB1124" s="304"/>
      <c r="AC1124" s="304"/>
      <c r="AD1124" s="304"/>
      <c r="AE1124" s="304"/>
    </row>
    <row r="1125" spans="2:31" ht="12">
      <c r="B1125" s="55"/>
      <c r="AB1125" s="304"/>
      <c r="AC1125" s="304"/>
      <c r="AD1125" s="304"/>
      <c r="AE1125" s="304"/>
    </row>
    <row r="1126" spans="2:31" ht="12">
      <c r="B1126" s="55"/>
      <c r="AB1126" s="304"/>
      <c r="AC1126" s="304"/>
      <c r="AD1126" s="304"/>
      <c r="AE1126" s="304"/>
    </row>
    <row r="1127" spans="2:31" ht="12">
      <c r="B1127" s="55"/>
      <c r="AB1127" s="304"/>
      <c r="AC1127" s="304"/>
      <c r="AD1127" s="304"/>
      <c r="AE1127" s="304"/>
    </row>
    <row r="1128" spans="2:31" ht="12">
      <c r="B1128" s="55"/>
      <c r="AB1128" s="304"/>
      <c r="AC1128" s="304"/>
      <c r="AD1128" s="304"/>
      <c r="AE1128" s="304"/>
    </row>
    <row r="1129" spans="2:31" ht="12">
      <c r="B1129" s="55"/>
      <c r="AB1129" s="304"/>
      <c r="AC1129" s="304"/>
      <c r="AD1129" s="304"/>
      <c r="AE1129" s="304"/>
    </row>
    <row r="1130" spans="2:31" ht="12">
      <c r="B1130" s="55"/>
      <c r="AB1130" s="304"/>
      <c r="AC1130" s="304"/>
      <c r="AD1130" s="304"/>
      <c r="AE1130" s="304"/>
    </row>
    <row r="1131" spans="2:31" ht="12">
      <c r="B1131" s="55"/>
      <c r="AB1131" s="304"/>
      <c r="AC1131" s="304"/>
      <c r="AD1131" s="304"/>
      <c r="AE1131" s="304"/>
    </row>
    <row r="1132" spans="2:31" ht="12">
      <c r="B1132" s="55"/>
      <c r="AB1132" s="304"/>
      <c r="AC1132" s="304"/>
      <c r="AD1132" s="304"/>
      <c r="AE1132" s="304"/>
    </row>
    <row r="1133" spans="2:31" ht="12">
      <c r="B1133" s="55"/>
      <c r="AB1133" s="304"/>
      <c r="AC1133" s="304"/>
      <c r="AD1133" s="304"/>
      <c r="AE1133" s="304"/>
    </row>
    <row r="1134" spans="2:31" ht="12">
      <c r="B1134" s="55"/>
      <c r="AB1134" s="304"/>
      <c r="AC1134" s="304"/>
      <c r="AD1134" s="304"/>
      <c r="AE1134" s="304"/>
    </row>
    <row r="1135" spans="2:31" ht="12">
      <c r="B1135" s="55"/>
      <c r="AB1135" s="304"/>
      <c r="AC1135" s="304"/>
      <c r="AD1135" s="304"/>
      <c r="AE1135" s="304"/>
    </row>
    <row r="1136" spans="2:31" ht="12">
      <c r="B1136" s="55"/>
      <c r="AB1136" s="304"/>
      <c r="AC1136" s="304"/>
      <c r="AD1136" s="304"/>
      <c r="AE1136" s="304"/>
    </row>
    <row r="1137" spans="2:31" ht="12">
      <c r="B1137" s="55"/>
      <c r="AB1137" s="304"/>
      <c r="AC1137" s="304"/>
      <c r="AD1137" s="304"/>
      <c r="AE1137" s="304"/>
    </row>
    <row r="1138" spans="2:31" ht="12">
      <c r="B1138" s="55"/>
      <c r="AB1138" s="304"/>
      <c r="AC1138" s="304"/>
      <c r="AD1138" s="304"/>
      <c r="AE1138" s="304"/>
    </row>
    <row r="1139" spans="2:31" ht="12">
      <c r="B1139" s="55"/>
      <c r="AB1139" s="304"/>
      <c r="AC1139" s="304"/>
      <c r="AD1139" s="304"/>
      <c r="AE1139" s="304"/>
    </row>
    <row r="1140" spans="2:31" ht="12">
      <c r="B1140" s="55"/>
      <c r="AB1140" s="304"/>
      <c r="AC1140" s="304"/>
      <c r="AD1140" s="304"/>
      <c r="AE1140" s="304"/>
    </row>
    <row r="1141" spans="2:31" ht="12">
      <c r="B1141" s="55"/>
      <c r="AB1141" s="304"/>
      <c r="AC1141" s="304"/>
      <c r="AD1141" s="304"/>
      <c r="AE1141" s="304"/>
    </row>
    <row r="1142" spans="2:31" ht="12">
      <c r="B1142" s="55"/>
      <c r="AB1142" s="304"/>
      <c r="AC1142" s="304"/>
      <c r="AD1142" s="304"/>
      <c r="AE1142" s="304"/>
    </row>
    <row r="1143" spans="2:31" ht="12">
      <c r="B1143" s="55"/>
      <c r="AB1143" s="304"/>
      <c r="AC1143" s="304"/>
      <c r="AD1143" s="304"/>
      <c r="AE1143" s="304"/>
    </row>
    <row r="1144" spans="2:31" ht="12">
      <c r="B1144" s="55"/>
      <c r="AB1144" s="304"/>
      <c r="AC1144" s="304"/>
      <c r="AD1144" s="304"/>
      <c r="AE1144" s="304"/>
    </row>
    <row r="1145" spans="2:31" ht="12">
      <c r="B1145" s="55"/>
      <c r="AB1145" s="304"/>
      <c r="AC1145" s="304"/>
      <c r="AD1145" s="304"/>
      <c r="AE1145" s="304"/>
    </row>
    <row r="1146" spans="2:31" ht="12">
      <c r="B1146" s="55"/>
      <c r="AB1146" s="304"/>
      <c r="AC1146" s="304"/>
      <c r="AD1146" s="304"/>
      <c r="AE1146" s="304"/>
    </row>
    <row r="1147" spans="2:31" ht="12">
      <c r="B1147" s="55"/>
      <c r="AB1147" s="304"/>
      <c r="AC1147" s="304"/>
      <c r="AD1147" s="304"/>
      <c r="AE1147" s="304"/>
    </row>
    <row r="1148" spans="2:31" ht="12">
      <c r="B1148" s="55"/>
      <c r="AB1148" s="304"/>
      <c r="AC1148" s="304"/>
      <c r="AD1148" s="304"/>
      <c r="AE1148" s="304"/>
    </row>
    <row r="1149" spans="2:31" ht="12">
      <c r="B1149" s="55"/>
      <c r="AB1149" s="304"/>
      <c r="AC1149" s="304"/>
      <c r="AD1149" s="304"/>
      <c r="AE1149" s="304"/>
    </row>
    <row r="1150" spans="2:31" ht="12">
      <c r="B1150" s="55"/>
      <c r="AB1150" s="304"/>
      <c r="AC1150" s="304"/>
      <c r="AD1150" s="304"/>
      <c r="AE1150" s="304"/>
    </row>
    <row r="1151" spans="2:31" ht="12">
      <c r="B1151" s="55"/>
      <c r="AB1151" s="304"/>
      <c r="AC1151" s="304"/>
      <c r="AD1151" s="304"/>
      <c r="AE1151" s="304"/>
    </row>
    <row r="1152" spans="2:31" ht="12">
      <c r="B1152" s="55"/>
      <c r="AB1152" s="304"/>
      <c r="AC1152" s="304"/>
      <c r="AD1152" s="304"/>
      <c r="AE1152" s="304"/>
    </row>
    <row r="1153" spans="2:31" ht="12">
      <c r="B1153" s="55"/>
      <c r="AB1153" s="304"/>
      <c r="AC1153" s="304"/>
      <c r="AD1153" s="304"/>
      <c r="AE1153" s="304"/>
    </row>
    <row r="1154" spans="2:31" ht="12">
      <c r="B1154" s="55"/>
      <c r="AB1154" s="304"/>
      <c r="AC1154" s="304"/>
      <c r="AD1154" s="304"/>
      <c r="AE1154" s="304"/>
    </row>
    <row r="1155" spans="2:31" ht="12">
      <c r="B1155" s="55"/>
      <c r="AB1155" s="304"/>
      <c r="AC1155" s="304"/>
      <c r="AD1155" s="304"/>
      <c r="AE1155" s="304"/>
    </row>
    <row r="1156" spans="2:31" ht="12">
      <c r="B1156" s="55"/>
      <c r="AB1156" s="304"/>
      <c r="AC1156" s="304"/>
      <c r="AD1156" s="304"/>
      <c r="AE1156" s="304"/>
    </row>
    <row r="1157" spans="2:31" ht="12">
      <c r="B1157" s="55"/>
      <c r="AB1157" s="304"/>
      <c r="AC1157" s="304"/>
      <c r="AD1157" s="304"/>
      <c r="AE1157" s="304"/>
    </row>
    <row r="1158" spans="2:31" ht="12">
      <c r="B1158" s="55"/>
      <c r="AB1158" s="304"/>
      <c r="AC1158" s="304"/>
      <c r="AD1158" s="304"/>
      <c r="AE1158" s="304"/>
    </row>
    <row r="1159" spans="2:31" ht="12">
      <c r="B1159" s="55"/>
      <c r="AB1159" s="304"/>
      <c r="AC1159" s="304"/>
      <c r="AD1159" s="304"/>
      <c r="AE1159" s="304"/>
    </row>
    <row r="1160" spans="2:31" ht="12">
      <c r="B1160" s="55"/>
      <c r="AB1160" s="304"/>
      <c r="AC1160" s="304"/>
      <c r="AD1160" s="304"/>
      <c r="AE1160" s="304"/>
    </row>
    <row r="1161" spans="2:31" ht="12">
      <c r="B1161" s="55"/>
      <c r="AB1161" s="304"/>
      <c r="AC1161" s="304"/>
      <c r="AD1161" s="304"/>
      <c r="AE1161" s="304"/>
    </row>
    <row r="1162" spans="2:31" ht="12">
      <c r="B1162" s="55"/>
      <c r="AB1162" s="304"/>
      <c r="AC1162" s="304"/>
      <c r="AD1162" s="304"/>
      <c r="AE1162" s="304"/>
    </row>
    <row r="1163" spans="2:31" ht="12">
      <c r="B1163" s="55"/>
      <c r="AB1163" s="304"/>
      <c r="AC1163" s="304"/>
      <c r="AD1163" s="304"/>
      <c r="AE1163" s="304"/>
    </row>
    <row r="1164" spans="2:31" ht="12">
      <c r="B1164" s="55"/>
      <c r="AB1164" s="304"/>
      <c r="AC1164" s="304"/>
      <c r="AD1164" s="304"/>
      <c r="AE1164" s="304"/>
    </row>
    <row r="1165" spans="2:31" ht="12">
      <c r="B1165" s="55"/>
      <c r="AB1165" s="304"/>
      <c r="AC1165" s="304"/>
      <c r="AD1165" s="304"/>
      <c r="AE1165" s="304"/>
    </row>
    <row r="1166" spans="2:31" ht="12">
      <c r="B1166" s="55"/>
      <c r="AB1166" s="304"/>
      <c r="AC1166" s="304"/>
      <c r="AD1166" s="304"/>
      <c r="AE1166" s="304"/>
    </row>
    <row r="1167" spans="2:31" ht="12">
      <c r="B1167" s="55"/>
      <c r="AB1167" s="304"/>
      <c r="AC1167" s="304"/>
      <c r="AD1167" s="304"/>
      <c r="AE1167" s="304"/>
    </row>
    <row r="1168" spans="2:31" ht="12">
      <c r="B1168" s="55"/>
      <c r="AB1168" s="304"/>
      <c r="AC1168" s="304"/>
      <c r="AD1168" s="304"/>
      <c r="AE1168" s="304"/>
    </row>
    <row r="1169" spans="2:31" ht="12">
      <c r="B1169" s="55"/>
      <c r="AB1169" s="304"/>
      <c r="AC1169" s="304"/>
      <c r="AD1169" s="304"/>
      <c r="AE1169" s="304"/>
    </row>
    <row r="1170" spans="2:31" ht="12">
      <c r="B1170" s="55"/>
      <c r="AB1170" s="304"/>
      <c r="AC1170" s="304"/>
      <c r="AD1170" s="304"/>
      <c r="AE1170" s="304"/>
    </row>
    <row r="1171" spans="2:31" ht="12">
      <c r="B1171" s="55"/>
      <c r="AB1171" s="304"/>
      <c r="AC1171" s="304"/>
      <c r="AD1171" s="304"/>
      <c r="AE1171" s="304"/>
    </row>
    <row r="1172" spans="2:31" ht="12">
      <c r="B1172" s="55"/>
      <c r="AB1172" s="304"/>
      <c r="AC1172" s="304"/>
      <c r="AD1172" s="304"/>
      <c r="AE1172" s="304"/>
    </row>
    <row r="1173" spans="2:31" ht="12">
      <c r="B1173" s="55"/>
      <c r="AB1173" s="304"/>
      <c r="AC1173" s="304"/>
      <c r="AD1173" s="304"/>
      <c r="AE1173" s="304"/>
    </row>
    <row r="1174" spans="2:31" ht="12">
      <c r="B1174" s="55"/>
      <c r="AB1174" s="304"/>
      <c r="AC1174" s="304"/>
      <c r="AD1174" s="304"/>
      <c r="AE1174" s="304"/>
    </row>
    <row r="1175" spans="2:31" ht="12">
      <c r="B1175" s="55"/>
      <c r="AB1175" s="304"/>
      <c r="AC1175" s="304"/>
      <c r="AD1175" s="304"/>
      <c r="AE1175" s="304"/>
    </row>
    <row r="1176" spans="2:31" ht="12">
      <c r="B1176" s="55"/>
      <c r="AB1176" s="304"/>
      <c r="AC1176" s="304"/>
      <c r="AD1176" s="304"/>
      <c r="AE1176" s="304"/>
    </row>
    <row r="1177" spans="2:31" ht="12">
      <c r="B1177" s="55"/>
      <c r="AB1177" s="304"/>
      <c r="AC1177" s="304"/>
      <c r="AD1177" s="304"/>
      <c r="AE1177" s="304"/>
    </row>
    <row r="1178" spans="2:31" ht="12">
      <c r="B1178" s="55"/>
      <c r="AB1178" s="304"/>
      <c r="AC1178" s="304"/>
      <c r="AD1178" s="304"/>
      <c r="AE1178" s="304"/>
    </row>
    <row r="1179" spans="2:31" ht="12">
      <c r="B1179" s="55"/>
      <c r="AB1179" s="304"/>
      <c r="AC1179" s="304"/>
      <c r="AD1179" s="304"/>
      <c r="AE1179" s="304"/>
    </row>
    <row r="1180" spans="2:31" ht="12">
      <c r="B1180" s="55"/>
      <c r="AB1180" s="304"/>
      <c r="AC1180" s="304"/>
      <c r="AD1180" s="304"/>
      <c r="AE1180" s="304"/>
    </row>
    <row r="1181" spans="2:31" ht="12">
      <c r="B1181" s="55"/>
      <c r="AB1181" s="304"/>
      <c r="AC1181" s="304"/>
      <c r="AD1181" s="304"/>
      <c r="AE1181" s="304"/>
    </row>
    <row r="1182" spans="2:31" ht="12">
      <c r="B1182" s="55"/>
      <c r="AB1182" s="304"/>
      <c r="AC1182" s="304"/>
      <c r="AD1182" s="304"/>
      <c r="AE1182" s="304"/>
    </row>
    <row r="1183" spans="2:31" ht="12">
      <c r="B1183" s="55"/>
      <c r="AB1183" s="304"/>
      <c r="AC1183" s="304"/>
      <c r="AD1183" s="304"/>
      <c r="AE1183" s="304"/>
    </row>
    <row r="1184" spans="2:31" ht="12">
      <c r="B1184" s="55"/>
      <c r="AB1184" s="304"/>
      <c r="AC1184" s="304"/>
      <c r="AD1184" s="304"/>
      <c r="AE1184" s="304"/>
    </row>
    <row r="1185" spans="2:31" ht="12">
      <c r="B1185" s="55"/>
      <c r="AB1185" s="304"/>
      <c r="AC1185" s="304"/>
      <c r="AD1185" s="304"/>
      <c r="AE1185" s="304"/>
    </row>
    <row r="1186" spans="2:31" ht="12">
      <c r="B1186" s="55"/>
      <c r="AB1186" s="304"/>
      <c r="AC1186" s="304"/>
      <c r="AD1186" s="304"/>
      <c r="AE1186" s="304"/>
    </row>
    <row r="1187" spans="2:31" ht="12">
      <c r="B1187" s="55"/>
      <c r="AB1187" s="304"/>
      <c r="AC1187" s="304"/>
      <c r="AD1187" s="304"/>
      <c r="AE1187" s="304"/>
    </row>
    <row r="1188" spans="2:31" ht="12">
      <c r="B1188" s="55"/>
      <c r="AB1188" s="304"/>
      <c r="AC1188" s="304"/>
      <c r="AD1188" s="304"/>
      <c r="AE1188" s="304"/>
    </row>
    <row r="1189" spans="2:31" ht="12">
      <c r="B1189" s="55"/>
      <c r="AB1189" s="304"/>
      <c r="AC1189" s="304"/>
      <c r="AD1189" s="304"/>
      <c r="AE1189" s="304"/>
    </row>
    <row r="1190" spans="2:31" ht="12">
      <c r="B1190" s="55"/>
      <c r="AB1190" s="304"/>
      <c r="AC1190" s="304"/>
      <c r="AD1190" s="304"/>
      <c r="AE1190" s="304"/>
    </row>
    <row r="1191" spans="2:31" ht="12">
      <c r="B1191" s="55"/>
      <c r="AB1191" s="304"/>
      <c r="AC1191" s="304"/>
      <c r="AD1191" s="304"/>
      <c r="AE1191" s="304"/>
    </row>
    <row r="1192" spans="2:31" ht="12">
      <c r="B1192" s="55"/>
      <c r="AB1192" s="304"/>
      <c r="AC1192" s="304"/>
      <c r="AD1192" s="304"/>
      <c r="AE1192" s="304"/>
    </row>
    <row r="1193" spans="2:31" ht="12">
      <c r="B1193" s="55"/>
      <c r="AB1193" s="304"/>
      <c r="AC1193" s="304"/>
      <c r="AD1193" s="304"/>
      <c r="AE1193" s="304"/>
    </row>
    <row r="1194" spans="2:31" ht="12">
      <c r="B1194" s="55"/>
      <c r="AB1194" s="304"/>
      <c r="AC1194" s="304"/>
      <c r="AD1194" s="304"/>
      <c r="AE1194" s="304"/>
    </row>
    <row r="1195" spans="2:31" ht="12">
      <c r="B1195" s="55"/>
      <c r="AB1195" s="304"/>
      <c r="AC1195" s="304"/>
      <c r="AD1195" s="304"/>
      <c r="AE1195" s="304"/>
    </row>
    <row r="1196" spans="2:31" ht="12">
      <c r="B1196" s="55"/>
      <c r="AB1196" s="304"/>
      <c r="AC1196" s="304"/>
      <c r="AD1196" s="304"/>
      <c r="AE1196" s="304"/>
    </row>
    <row r="1197" spans="2:31" ht="12">
      <c r="B1197" s="55"/>
      <c r="AB1197" s="304"/>
      <c r="AC1197" s="304"/>
      <c r="AD1197" s="304"/>
      <c r="AE1197" s="304"/>
    </row>
    <row r="1198" spans="2:31" ht="12">
      <c r="B1198" s="55"/>
      <c r="AB1198" s="304"/>
      <c r="AC1198" s="304"/>
      <c r="AD1198" s="304"/>
      <c r="AE1198" s="304"/>
    </row>
    <row r="1199" spans="2:31" ht="12">
      <c r="B1199" s="55"/>
      <c r="AB1199" s="304"/>
      <c r="AC1199" s="304"/>
      <c r="AD1199" s="304"/>
      <c r="AE1199" s="304"/>
    </row>
    <row r="1200" spans="2:31" ht="12">
      <c r="B1200" s="55"/>
      <c r="AB1200" s="304"/>
      <c r="AC1200" s="304"/>
      <c r="AD1200" s="304"/>
      <c r="AE1200" s="304"/>
    </row>
    <row r="1201" spans="2:31" ht="12">
      <c r="B1201" s="55"/>
      <c r="AB1201" s="304"/>
      <c r="AC1201" s="304"/>
      <c r="AD1201" s="304"/>
      <c r="AE1201" s="304"/>
    </row>
    <row r="1202" spans="2:31" ht="12">
      <c r="B1202" s="55"/>
      <c r="AB1202" s="304"/>
      <c r="AC1202" s="304"/>
      <c r="AD1202" s="304"/>
      <c r="AE1202" s="304"/>
    </row>
    <row r="1203" spans="2:31" ht="12">
      <c r="B1203" s="55"/>
      <c r="AB1203" s="304"/>
      <c r="AC1203" s="304"/>
      <c r="AD1203" s="304"/>
      <c r="AE1203" s="304"/>
    </row>
    <row r="1204" spans="2:31" ht="12">
      <c r="B1204" s="55"/>
      <c r="AB1204" s="304"/>
      <c r="AC1204" s="304"/>
      <c r="AD1204" s="304"/>
      <c r="AE1204" s="304"/>
    </row>
    <row r="1205" spans="2:31" ht="12">
      <c r="B1205" s="55"/>
      <c r="AB1205" s="304"/>
      <c r="AC1205" s="304"/>
      <c r="AD1205" s="304"/>
      <c r="AE1205" s="304"/>
    </row>
    <row r="1206" spans="2:31" ht="12">
      <c r="B1206" s="55"/>
      <c r="AB1206" s="304"/>
      <c r="AC1206" s="304"/>
      <c r="AD1206" s="304"/>
      <c r="AE1206" s="304"/>
    </row>
    <row r="1207" spans="2:31" ht="12">
      <c r="B1207" s="55"/>
      <c r="AB1207" s="304"/>
      <c r="AC1207" s="304"/>
      <c r="AD1207" s="304"/>
      <c r="AE1207" s="304"/>
    </row>
    <row r="1208" spans="2:31" ht="12">
      <c r="B1208" s="55"/>
      <c r="AB1208" s="304"/>
      <c r="AC1208" s="304"/>
      <c r="AD1208" s="304"/>
      <c r="AE1208" s="304"/>
    </row>
    <row r="1209" spans="2:31" ht="12">
      <c r="B1209" s="55"/>
      <c r="AB1209" s="304"/>
      <c r="AC1209" s="304"/>
      <c r="AD1209" s="304"/>
      <c r="AE1209" s="304"/>
    </row>
    <row r="1210" spans="2:31" ht="12">
      <c r="B1210" s="55"/>
      <c r="AB1210" s="304"/>
      <c r="AC1210" s="304"/>
      <c r="AD1210" s="304"/>
      <c r="AE1210" s="304"/>
    </row>
    <row r="1211" spans="2:31" ht="12">
      <c r="B1211" s="55"/>
      <c r="AB1211" s="304"/>
      <c r="AC1211" s="304"/>
      <c r="AD1211" s="304"/>
      <c r="AE1211" s="304"/>
    </row>
    <row r="1212" spans="2:31" ht="12">
      <c r="B1212" s="55"/>
      <c r="AB1212" s="304"/>
      <c r="AC1212" s="304"/>
      <c r="AD1212" s="304"/>
      <c r="AE1212" s="304"/>
    </row>
    <row r="1213" spans="2:31" ht="12">
      <c r="B1213" s="55"/>
      <c r="AB1213" s="304"/>
      <c r="AC1213" s="304"/>
      <c r="AD1213" s="304"/>
      <c r="AE1213" s="304"/>
    </row>
    <row r="1214" spans="2:31" ht="12">
      <c r="B1214" s="55"/>
      <c r="AB1214" s="304"/>
      <c r="AC1214" s="304"/>
      <c r="AD1214" s="304"/>
      <c r="AE1214" s="304"/>
    </row>
    <row r="1215" spans="2:31" ht="12">
      <c r="B1215" s="55"/>
      <c r="AB1215" s="304"/>
      <c r="AC1215" s="304"/>
      <c r="AD1215" s="304"/>
      <c r="AE1215" s="304"/>
    </row>
    <row r="1216" spans="2:31" ht="12">
      <c r="B1216" s="55"/>
      <c r="AB1216" s="304"/>
      <c r="AC1216" s="304"/>
      <c r="AD1216" s="304"/>
      <c r="AE1216" s="304"/>
    </row>
    <row r="1217" spans="2:31" ht="12">
      <c r="B1217" s="55"/>
      <c r="AB1217" s="304"/>
      <c r="AC1217" s="304"/>
      <c r="AD1217" s="304"/>
      <c r="AE1217" s="304"/>
    </row>
    <row r="1218" spans="2:31" ht="12">
      <c r="B1218" s="55"/>
      <c r="AB1218" s="304"/>
      <c r="AC1218" s="304"/>
      <c r="AD1218" s="304"/>
      <c r="AE1218" s="304"/>
    </row>
    <row r="1219" spans="2:31" ht="12">
      <c r="B1219" s="55"/>
      <c r="AB1219" s="304"/>
      <c r="AC1219" s="304"/>
      <c r="AD1219" s="304"/>
      <c r="AE1219" s="304"/>
    </row>
    <row r="1220" spans="2:31" ht="12">
      <c r="B1220" s="55"/>
      <c r="AB1220" s="304"/>
      <c r="AC1220" s="304"/>
      <c r="AD1220" s="304"/>
      <c r="AE1220" s="304"/>
    </row>
    <row r="1221" spans="2:31" ht="12">
      <c r="B1221" s="55"/>
      <c r="AB1221" s="304"/>
      <c r="AC1221" s="304"/>
      <c r="AD1221" s="304"/>
      <c r="AE1221" s="304"/>
    </row>
    <row r="1222" spans="2:31" ht="12">
      <c r="B1222" s="55"/>
      <c r="AB1222" s="304"/>
      <c r="AC1222" s="304"/>
      <c r="AD1222" s="304"/>
      <c r="AE1222" s="304"/>
    </row>
    <row r="1223" spans="2:31" ht="12">
      <c r="B1223" s="55"/>
      <c r="AB1223" s="304"/>
      <c r="AC1223" s="304"/>
      <c r="AD1223" s="304"/>
      <c r="AE1223" s="304"/>
    </row>
    <row r="1224" spans="2:31" ht="12">
      <c r="B1224" s="55"/>
      <c r="AB1224" s="304"/>
      <c r="AC1224" s="304"/>
      <c r="AD1224" s="304"/>
      <c r="AE1224" s="304"/>
    </row>
    <row r="1225" spans="2:31" ht="12">
      <c r="B1225" s="55"/>
      <c r="AB1225" s="304"/>
      <c r="AC1225" s="304"/>
      <c r="AD1225" s="304"/>
      <c r="AE1225" s="304"/>
    </row>
    <row r="1226" spans="2:31" ht="12">
      <c r="B1226" s="55"/>
      <c r="AB1226" s="304"/>
      <c r="AC1226" s="304"/>
      <c r="AD1226" s="304"/>
      <c r="AE1226" s="304"/>
    </row>
    <row r="1227" spans="2:31" ht="12">
      <c r="B1227" s="55"/>
      <c r="AB1227" s="304"/>
      <c r="AC1227" s="304"/>
      <c r="AD1227" s="304"/>
      <c r="AE1227" s="304"/>
    </row>
    <row r="1228" spans="2:31" ht="12">
      <c r="B1228" s="55"/>
      <c r="AB1228" s="304"/>
      <c r="AC1228" s="304"/>
      <c r="AD1228" s="304"/>
      <c r="AE1228" s="304"/>
    </row>
    <row r="1229" spans="2:31" ht="12">
      <c r="B1229" s="55"/>
      <c r="AB1229" s="304"/>
      <c r="AC1229" s="304"/>
      <c r="AD1229" s="304"/>
      <c r="AE1229" s="304"/>
    </row>
    <row r="1230" spans="2:31" ht="12">
      <c r="B1230" s="55"/>
      <c r="AB1230" s="304"/>
      <c r="AC1230" s="304"/>
      <c r="AD1230" s="304"/>
      <c r="AE1230" s="304"/>
    </row>
    <row r="1231" spans="2:31" ht="12">
      <c r="B1231" s="55"/>
      <c r="AB1231" s="304"/>
      <c r="AC1231" s="304"/>
      <c r="AD1231" s="304"/>
      <c r="AE1231" s="304"/>
    </row>
    <row r="1232" spans="2:31" ht="12">
      <c r="B1232" s="55"/>
      <c r="AB1232" s="304"/>
      <c r="AC1232" s="304"/>
      <c r="AD1232" s="304"/>
      <c r="AE1232" s="304"/>
    </row>
    <row r="1233" spans="2:31" ht="12">
      <c r="B1233" s="55"/>
      <c r="AB1233" s="304"/>
      <c r="AC1233" s="304"/>
      <c r="AD1233" s="304"/>
      <c r="AE1233" s="304"/>
    </row>
    <row r="1234" spans="2:31" ht="12">
      <c r="B1234" s="55"/>
      <c r="AB1234" s="304"/>
      <c r="AC1234" s="304"/>
      <c r="AD1234" s="304"/>
      <c r="AE1234" s="304"/>
    </row>
    <row r="1235" spans="2:31" ht="12">
      <c r="B1235" s="55"/>
      <c r="AB1235" s="304"/>
      <c r="AC1235" s="304"/>
      <c r="AD1235" s="304"/>
      <c r="AE1235" s="304"/>
    </row>
    <row r="1236" spans="2:31" ht="12">
      <c r="B1236" s="55"/>
      <c r="AB1236" s="304"/>
      <c r="AC1236" s="304"/>
      <c r="AD1236" s="304"/>
      <c r="AE1236" s="304"/>
    </row>
    <row r="1237" spans="2:31" ht="12">
      <c r="B1237" s="55"/>
      <c r="AB1237" s="304"/>
      <c r="AC1237" s="304"/>
      <c r="AD1237" s="304"/>
      <c r="AE1237" s="304"/>
    </row>
    <row r="1238" spans="2:31" ht="12">
      <c r="B1238" s="55"/>
      <c r="AB1238" s="304"/>
      <c r="AC1238" s="304"/>
      <c r="AD1238" s="304"/>
      <c r="AE1238" s="304"/>
    </row>
    <row r="1239" spans="2:31" ht="12">
      <c r="B1239" s="55"/>
      <c r="AB1239" s="304"/>
      <c r="AC1239" s="304"/>
      <c r="AD1239" s="304"/>
      <c r="AE1239" s="304"/>
    </row>
    <row r="1240" spans="2:31" ht="12">
      <c r="B1240" s="55"/>
      <c r="AB1240" s="304"/>
      <c r="AC1240" s="304"/>
      <c r="AD1240" s="304"/>
      <c r="AE1240" s="304"/>
    </row>
    <row r="1241" spans="2:31" ht="12">
      <c r="B1241" s="55"/>
      <c r="AB1241" s="304"/>
      <c r="AC1241" s="304"/>
      <c r="AD1241" s="304"/>
      <c r="AE1241" s="304"/>
    </row>
    <row r="1242" spans="2:31" ht="12">
      <c r="B1242" s="55"/>
      <c r="AB1242" s="304"/>
      <c r="AC1242" s="304"/>
      <c r="AD1242" s="304"/>
      <c r="AE1242" s="304"/>
    </row>
    <row r="1243" spans="2:31" ht="12">
      <c r="B1243" s="55"/>
      <c r="AB1243" s="304"/>
      <c r="AC1243" s="304"/>
      <c r="AD1243" s="304"/>
      <c r="AE1243" s="304"/>
    </row>
    <row r="1244" spans="2:31" ht="12">
      <c r="B1244" s="55"/>
      <c r="AB1244" s="304"/>
      <c r="AC1244" s="304"/>
      <c r="AD1244" s="304"/>
      <c r="AE1244" s="304"/>
    </row>
    <row r="1245" spans="2:31" ht="12">
      <c r="B1245" s="55"/>
      <c r="AB1245" s="304"/>
      <c r="AC1245" s="304"/>
      <c r="AD1245" s="304"/>
      <c r="AE1245" s="304"/>
    </row>
    <row r="1246" spans="2:31" ht="12">
      <c r="B1246" s="55"/>
      <c r="AB1246" s="304"/>
      <c r="AC1246" s="304"/>
      <c r="AD1246" s="304"/>
      <c r="AE1246" s="304"/>
    </row>
    <row r="1247" spans="2:31" ht="12">
      <c r="B1247" s="55"/>
      <c r="AB1247" s="304"/>
      <c r="AC1247" s="304"/>
      <c r="AD1247" s="304"/>
      <c r="AE1247" s="304"/>
    </row>
    <row r="1248" spans="2:31" ht="12">
      <c r="B1248" s="55"/>
      <c r="AB1248" s="304"/>
      <c r="AC1248" s="304"/>
      <c r="AD1248" s="304"/>
      <c r="AE1248" s="304"/>
    </row>
    <row r="1249" spans="2:31" ht="12">
      <c r="B1249" s="55"/>
      <c r="AB1249" s="304"/>
      <c r="AC1249" s="304"/>
      <c r="AD1249" s="304"/>
      <c r="AE1249" s="304"/>
    </row>
    <row r="1250" spans="2:31" ht="12">
      <c r="B1250" s="55"/>
      <c r="AB1250" s="304"/>
      <c r="AC1250" s="304"/>
      <c r="AD1250" s="304"/>
      <c r="AE1250" s="304"/>
    </row>
    <row r="1251" spans="2:31" ht="12">
      <c r="B1251" s="55"/>
      <c r="AB1251" s="304"/>
      <c r="AC1251" s="304"/>
      <c r="AD1251" s="304"/>
      <c r="AE1251" s="304"/>
    </row>
    <row r="1252" spans="2:31" ht="12">
      <c r="B1252" s="55"/>
      <c r="AB1252" s="304"/>
      <c r="AC1252" s="304"/>
      <c r="AD1252" s="304"/>
      <c r="AE1252" s="304"/>
    </row>
    <row r="1253" spans="2:31" ht="12">
      <c r="B1253" s="55"/>
      <c r="AB1253" s="304"/>
      <c r="AC1253" s="304"/>
      <c r="AD1253" s="304"/>
      <c r="AE1253" s="304"/>
    </row>
    <row r="1254" spans="2:31" ht="12">
      <c r="B1254" s="55"/>
      <c r="AB1254" s="304"/>
      <c r="AC1254" s="304"/>
      <c r="AD1254" s="304"/>
      <c r="AE1254" s="304"/>
    </row>
    <row r="1255" spans="2:31" ht="12">
      <c r="B1255" s="55"/>
      <c r="AB1255" s="304"/>
      <c r="AC1255" s="304"/>
      <c r="AD1255" s="304"/>
      <c r="AE1255" s="304"/>
    </row>
    <row r="1256" spans="2:31" ht="12">
      <c r="B1256" s="55"/>
      <c r="AB1256" s="304"/>
      <c r="AC1256" s="304"/>
      <c r="AD1256" s="304"/>
      <c r="AE1256" s="304"/>
    </row>
    <row r="1257" spans="2:31" ht="12">
      <c r="B1257" s="55"/>
      <c r="AB1257" s="304"/>
      <c r="AC1257" s="304"/>
      <c r="AD1257" s="304"/>
      <c r="AE1257" s="304"/>
    </row>
    <row r="1258" spans="2:31" ht="12">
      <c r="B1258" s="55"/>
      <c r="AB1258" s="304"/>
      <c r="AC1258" s="304"/>
      <c r="AD1258" s="304"/>
      <c r="AE1258" s="304"/>
    </row>
    <row r="1259" spans="2:31" ht="12">
      <c r="B1259" s="55"/>
      <c r="AB1259" s="304"/>
      <c r="AC1259" s="304"/>
      <c r="AD1259" s="304"/>
      <c r="AE1259" s="304"/>
    </row>
    <row r="1260" spans="2:31" ht="12">
      <c r="B1260" s="55"/>
      <c r="AB1260" s="304"/>
      <c r="AC1260" s="304"/>
      <c r="AD1260" s="304"/>
      <c r="AE1260" s="304"/>
    </row>
    <row r="1261" spans="2:31" ht="12">
      <c r="B1261" s="55"/>
      <c r="AB1261" s="304"/>
      <c r="AC1261" s="304"/>
      <c r="AD1261" s="304"/>
      <c r="AE1261" s="304"/>
    </row>
    <row r="1262" spans="2:31" ht="12">
      <c r="B1262" s="55"/>
      <c r="AB1262" s="304"/>
      <c r="AC1262" s="304"/>
      <c r="AD1262" s="304"/>
      <c r="AE1262" s="304"/>
    </row>
    <row r="1263" spans="2:31" ht="12">
      <c r="B1263" s="55"/>
      <c r="AB1263" s="304"/>
      <c r="AC1263" s="304"/>
      <c r="AD1263" s="304"/>
      <c r="AE1263" s="304"/>
    </row>
    <row r="1264" spans="2:31" ht="12">
      <c r="B1264" s="55"/>
      <c r="AB1264" s="304"/>
      <c r="AC1264" s="304"/>
      <c r="AD1264" s="304"/>
      <c r="AE1264" s="304"/>
    </row>
    <row r="1265" spans="2:31" ht="12">
      <c r="B1265" s="55"/>
      <c r="AB1265" s="304"/>
      <c r="AC1265" s="304"/>
      <c r="AD1265" s="304"/>
      <c r="AE1265" s="304"/>
    </row>
    <row r="1266" spans="2:31" ht="12">
      <c r="B1266" s="55"/>
      <c r="AB1266" s="304"/>
      <c r="AC1266" s="304"/>
      <c r="AD1266" s="304"/>
      <c r="AE1266" s="304"/>
    </row>
    <row r="1267" spans="2:31" ht="12">
      <c r="B1267" s="55"/>
      <c r="AB1267" s="304"/>
      <c r="AC1267" s="304"/>
      <c r="AD1267" s="304"/>
      <c r="AE1267" s="304"/>
    </row>
    <row r="1268" spans="2:31" ht="12">
      <c r="B1268" s="55"/>
      <c r="AB1268" s="304"/>
      <c r="AC1268" s="304"/>
      <c r="AD1268" s="304"/>
      <c r="AE1268" s="304"/>
    </row>
    <row r="1269" spans="2:31" ht="12">
      <c r="B1269" s="55"/>
      <c r="AB1269" s="304"/>
      <c r="AC1269" s="304"/>
      <c r="AD1269" s="304"/>
      <c r="AE1269" s="304"/>
    </row>
    <row r="1270" spans="2:31" ht="12">
      <c r="B1270" s="55"/>
      <c r="AB1270" s="304"/>
      <c r="AC1270" s="304"/>
      <c r="AD1270" s="304"/>
      <c r="AE1270" s="304"/>
    </row>
    <row r="1271" spans="2:31" ht="12">
      <c r="B1271" s="55"/>
      <c r="AB1271" s="304"/>
      <c r="AC1271" s="304"/>
      <c r="AD1271" s="304"/>
      <c r="AE1271" s="304"/>
    </row>
    <row r="1272" spans="2:31" ht="12">
      <c r="B1272" s="55"/>
      <c r="AB1272" s="304"/>
      <c r="AC1272" s="304"/>
      <c r="AD1272" s="304"/>
      <c r="AE1272" s="304"/>
    </row>
    <row r="1273" spans="2:31" ht="12">
      <c r="B1273" s="55"/>
      <c r="AB1273" s="304"/>
      <c r="AC1273" s="304"/>
      <c r="AD1273" s="304"/>
      <c r="AE1273" s="304"/>
    </row>
    <row r="1274" spans="2:31" ht="12">
      <c r="B1274" s="55"/>
      <c r="AB1274" s="304"/>
      <c r="AC1274" s="304"/>
      <c r="AD1274" s="304"/>
      <c r="AE1274" s="304"/>
    </row>
    <row r="1275" spans="2:31" ht="12">
      <c r="B1275" s="55"/>
      <c r="AB1275" s="304"/>
      <c r="AC1275" s="304"/>
      <c r="AD1275" s="304"/>
      <c r="AE1275" s="304"/>
    </row>
    <row r="1276" spans="2:31" ht="12">
      <c r="B1276" s="55"/>
      <c r="AB1276" s="304"/>
      <c r="AC1276" s="304"/>
      <c r="AD1276" s="304"/>
      <c r="AE1276" s="304"/>
    </row>
    <row r="1277" spans="2:31" ht="12">
      <c r="B1277" s="55"/>
      <c r="AB1277" s="304"/>
      <c r="AC1277" s="304"/>
      <c r="AD1277" s="304"/>
      <c r="AE1277" s="304"/>
    </row>
    <row r="1278" spans="2:31" ht="12">
      <c r="B1278" s="55"/>
      <c r="AB1278" s="304"/>
      <c r="AC1278" s="304"/>
      <c r="AD1278" s="304"/>
      <c r="AE1278" s="304"/>
    </row>
    <row r="1279" spans="2:31" ht="12">
      <c r="B1279" s="55"/>
      <c r="AB1279" s="304"/>
      <c r="AC1279" s="304"/>
      <c r="AD1279" s="304"/>
      <c r="AE1279" s="304"/>
    </row>
    <row r="1280" spans="2:31" ht="12">
      <c r="B1280" s="55"/>
      <c r="AB1280" s="304"/>
      <c r="AC1280" s="304"/>
      <c r="AD1280" s="304"/>
      <c r="AE1280" s="304"/>
    </row>
    <row r="1281" spans="2:31" ht="12">
      <c r="B1281" s="55"/>
      <c r="AB1281" s="304"/>
      <c r="AC1281" s="304"/>
      <c r="AD1281" s="304"/>
      <c r="AE1281" s="304"/>
    </row>
    <row r="1282" spans="2:31" ht="12">
      <c r="B1282" s="55"/>
      <c r="AB1282" s="304"/>
      <c r="AC1282" s="304"/>
      <c r="AD1282" s="304"/>
      <c r="AE1282" s="304"/>
    </row>
    <row r="1283" spans="2:31" ht="12">
      <c r="B1283" s="55"/>
      <c r="AB1283" s="304"/>
      <c r="AC1283" s="304"/>
      <c r="AD1283" s="304"/>
      <c r="AE1283" s="304"/>
    </row>
    <row r="1284" spans="2:31" ht="12">
      <c r="B1284" s="55"/>
      <c r="AB1284" s="304"/>
      <c r="AC1284" s="304"/>
      <c r="AD1284" s="304"/>
      <c r="AE1284" s="304"/>
    </row>
    <row r="1285" spans="2:31" ht="12">
      <c r="B1285" s="55"/>
      <c r="AB1285" s="304"/>
      <c r="AC1285" s="304"/>
      <c r="AD1285" s="304"/>
      <c r="AE1285" s="304"/>
    </row>
    <row r="1286" spans="2:31" ht="12">
      <c r="B1286" s="55"/>
      <c r="AB1286" s="304"/>
      <c r="AC1286" s="304"/>
      <c r="AD1286" s="304"/>
      <c r="AE1286" s="304"/>
    </row>
    <row r="1287" spans="2:31" ht="12">
      <c r="B1287" s="55"/>
      <c r="AB1287" s="304"/>
      <c r="AC1287" s="304"/>
      <c r="AD1287" s="304"/>
      <c r="AE1287" s="304"/>
    </row>
    <row r="1288" spans="2:31" ht="12">
      <c r="B1288" s="55"/>
      <c r="AB1288" s="304"/>
      <c r="AC1288" s="304"/>
      <c r="AD1288" s="304"/>
      <c r="AE1288" s="304"/>
    </row>
    <row r="1289" spans="2:31" ht="12">
      <c r="B1289" s="55"/>
      <c r="AB1289" s="304"/>
      <c r="AC1289" s="304"/>
      <c r="AD1289" s="304"/>
      <c r="AE1289" s="304"/>
    </row>
    <row r="1290" spans="2:31" ht="12">
      <c r="B1290" s="55"/>
      <c r="AB1290" s="304"/>
      <c r="AC1290" s="304"/>
      <c r="AD1290" s="304"/>
      <c r="AE1290" s="304"/>
    </row>
    <row r="1291" spans="2:31" ht="12">
      <c r="B1291" s="55"/>
      <c r="AB1291" s="304"/>
      <c r="AC1291" s="304"/>
      <c r="AD1291" s="304"/>
      <c r="AE1291" s="304"/>
    </row>
    <row r="1292" spans="2:31" ht="12">
      <c r="B1292" s="55"/>
      <c r="AB1292" s="304"/>
      <c r="AC1292" s="304"/>
      <c r="AD1292" s="304"/>
      <c r="AE1292" s="304"/>
    </row>
    <row r="1293" spans="2:31" ht="12">
      <c r="B1293" s="55"/>
      <c r="AB1293" s="304"/>
      <c r="AC1293" s="304"/>
      <c r="AD1293" s="304"/>
      <c r="AE1293" s="304"/>
    </row>
    <row r="1294" spans="2:31" ht="12">
      <c r="B1294" s="55"/>
      <c r="AB1294" s="304"/>
      <c r="AC1294" s="304"/>
      <c r="AD1294" s="304"/>
      <c r="AE1294" s="304"/>
    </row>
    <row r="1295" spans="2:31" ht="12">
      <c r="B1295" s="55"/>
      <c r="AB1295" s="304"/>
      <c r="AC1295" s="304"/>
      <c r="AD1295" s="304"/>
      <c r="AE1295" s="304"/>
    </row>
    <row r="1296" spans="2:31" ht="12">
      <c r="B1296" s="55"/>
      <c r="AB1296" s="304"/>
      <c r="AC1296" s="304"/>
      <c r="AD1296" s="304"/>
      <c r="AE1296" s="304"/>
    </row>
    <row r="1297" spans="2:31" ht="12">
      <c r="B1297" s="55"/>
      <c r="AB1297" s="304"/>
      <c r="AC1297" s="304"/>
      <c r="AD1297" s="304"/>
      <c r="AE1297" s="304"/>
    </row>
    <row r="1298" spans="2:31" ht="12">
      <c r="B1298" s="55"/>
      <c r="AB1298" s="304"/>
      <c r="AC1298" s="304"/>
      <c r="AD1298" s="304"/>
      <c r="AE1298" s="304"/>
    </row>
    <row r="1299" spans="2:31" ht="12">
      <c r="B1299" s="55"/>
      <c r="AB1299" s="304"/>
      <c r="AC1299" s="304"/>
      <c r="AD1299" s="304"/>
      <c r="AE1299" s="304"/>
    </row>
    <row r="1300" spans="2:31" ht="12">
      <c r="B1300" s="55"/>
      <c r="AB1300" s="304"/>
      <c r="AC1300" s="304"/>
      <c r="AD1300" s="304"/>
      <c r="AE1300" s="304"/>
    </row>
    <row r="1301" spans="2:31" ht="12">
      <c r="B1301" s="55"/>
      <c r="AB1301" s="304"/>
      <c r="AC1301" s="304"/>
      <c r="AD1301" s="304"/>
      <c r="AE1301" s="304"/>
    </row>
    <row r="1302" spans="2:31" ht="12">
      <c r="B1302" s="55"/>
      <c r="AB1302" s="304"/>
      <c r="AC1302" s="304"/>
      <c r="AD1302" s="304"/>
      <c r="AE1302" s="304"/>
    </row>
    <row r="1303" spans="2:31" ht="12">
      <c r="B1303" s="55"/>
      <c r="AB1303" s="304"/>
      <c r="AC1303" s="304"/>
      <c r="AD1303" s="304"/>
      <c r="AE1303" s="304"/>
    </row>
    <row r="1304" spans="2:31" ht="12">
      <c r="B1304" s="55"/>
      <c r="AB1304" s="304"/>
      <c r="AC1304" s="304"/>
      <c r="AD1304" s="304"/>
      <c r="AE1304" s="304"/>
    </row>
    <row r="1305" spans="2:31" ht="12">
      <c r="B1305" s="55"/>
      <c r="AB1305" s="304"/>
      <c r="AC1305" s="304"/>
      <c r="AD1305" s="304"/>
      <c r="AE1305" s="304"/>
    </row>
    <row r="1306" spans="2:31" ht="12">
      <c r="B1306" s="55"/>
      <c r="AB1306" s="304"/>
      <c r="AC1306" s="304"/>
      <c r="AD1306" s="304"/>
      <c r="AE1306" s="304"/>
    </row>
    <row r="1307" spans="2:31" ht="12">
      <c r="B1307" s="55"/>
      <c r="AB1307" s="304"/>
      <c r="AC1307" s="304"/>
      <c r="AD1307" s="304"/>
      <c r="AE1307" s="304"/>
    </row>
    <row r="1308" spans="2:31" ht="12">
      <c r="B1308" s="55"/>
      <c r="AB1308" s="304"/>
      <c r="AC1308" s="304"/>
      <c r="AD1308" s="304"/>
      <c r="AE1308" s="304"/>
    </row>
    <row r="1309" spans="2:31" ht="12">
      <c r="B1309" s="55"/>
      <c r="AB1309" s="304"/>
      <c r="AC1309" s="304"/>
      <c r="AD1309" s="304"/>
      <c r="AE1309" s="304"/>
    </row>
    <row r="1310" spans="2:31" ht="12">
      <c r="B1310" s="55"/>
      <c r="AB1310" s="304"/>
      <c r="AC1310" s="304"/>
      <c r="AD1310" s="304"/>
      <c r="AE1310" s="304"/>
    </row>
    <row r="1311" spans="2:31" ht="12">
      <c r="B1311" s="55"/>
      <c r="AB1311" s="304"/>
      <c r="AC1311" s="304"/>
      <c r="AD1311" s="304"/>
      <c r="AE1311" s="304"/>
    </row>
    <row r="1312" spans="2:31" ht="12">
      <c r="B1312" s="55"/>
      <c r="AB1312" s="304"/>
      <c r="AC1312" s="304"/>
      <c r="AD1312" s="304"/>
      <c r="AE1312" s="304"/>
    </row>
    <row r="1313" spans="2:31" ht="12">
      <c r="B1313" s="55"/>
      <c r="AB1313" s="304"/>
      <c r="AC1313" s="304"/>
      <c r="AD1313" s="304"/>
      <c r="AE1313" s="304"/>
    </row>
    <row r="1314" spans="2:31" ht="12">
      <c r="B1314" s="55"/>
      <c r="AB1314" s="304"/>
      <c r="AC1314" s="304"/>
      <c r="AD1314" s="304"/>
      <c r="AE1314" s="304"/>
    </row>
    <row r="1315" spans="2:31" ht="12">
      <c r="B1315" s="55"/>
      <c r="AB1315" s="304"/>
      <c r="AC1315" s="304"/>
      <c r="AD1315" s="304"/>
      <c r="AE1315" s="304"/>
    </row>
    <row r="1316" spans="2:31" ht="12">
      <c r="B1316" s="55"/>
      <c r="AB1316" s="304"/>
      <c r="AC1316" s="304"/>
      <c r="AD1316" s="304"/>
      <c r="AE1316" s="304"/>
    </row>
    <row r="1317" spans="2:31" ht="12">
      <c r="B1317" s="55"/>
      <c r="AB1317" s="304"/>
      <c r="AC1317" s="304"/>
      <c r="AD1317" s="304"/>
      <c r="AE1317" s="304"/>
    </row>
    <row r="1318" spans="2:31" ht="12">
      <c r="B1318" s="55"/>
      <c r="AB1318" s="304"/>
      <c r="AC1318" s="304"/>
      <c r="AD1318" s="304"/>
      <c r="AE1318" s="304"/>
    </row>
    <row r="1319" spans="2:31" ht="12">
      <c r="B1319" s="55"/>
      <c r="AB1319" s="304"/>
      <c r="AC1319" s="304"/>
      <c r="AD1319" s="304"/>
      <c r="AE1319" s="304"/>
    </row>
    <row r="1320" spans="2:31" ht="12">
      <c r="B1320" s="55"/>
      <c r="AB1320" s="304"/>
      <c r="AC1320" s="304"/>
      <c r="AD1320" s="304"/>
      <c r="AE1320" s="304"/>
    </row>
    <row r="1321" spans="2:31" ht="12">
      <c r="B1321" s="55"/>
      <c r="AB1321" s="304"/>
      <c r="AC1321" s="304"/>
      <c r="AD1321" s="304"/>
      <c r="AE1321" s="304"/>
    </row>
    <row r="1322" spans="2:31" ht="12">
      <c r="B1322" s="55"/>
      <c r="AB1322" s="304"/>
      <c r="AC1322" s="304"/>
      <c r="AD1322" s="304"/>
      <c r="AE1322" s="304"/>
    </row>
    <row r="1323" spans="2:31" ht="12">
      <c r="B1323" s="55"/>
      <c r="AB1323" s="304"/>
      <c r="AC1323" s="304"/>
      <c r="AD1323" s="304"/>
      <c r="AE1323" s="304"/>
    </row>
    <row r="1324" spans="2:31" ht="12">
      <c r="B1324" s="55"/>
      <c r="AB1324" s="304"/>
      <c r="AC1324" s="304"/>
      <c r="AD1324" s="304"/>
      <c r="AE1324" s="304"/>
    </row>
    <row r="1325" spans="2:31" ht="12">
      <c r="B1325" s="55"/>
      <c r="AB1325" s="304"/>
      <c r="AC1325" s="304"/>
      <c r="AD1325" s="304"/>
      <c r="AE1325" s="304"/>
    </row>
    <row r="1326" spans="2:31" ht="12">
      <c r="B1326" s="55"/>
      <c r="AB1326" s="304"/>
      <c r="AC1326" s="304"/>
      <c r="AD1326" s="304"/>
      <c r="AE1326" s="304"/>
    </row>
    <row r="1327" spans="2:31" ht="12">
      <c r="B1327" s="55"/>
      <c r="AB1327" s="304"/>
      <c r="AC1327" s="304"/>
      <c r="AD1327" s="304"/>
      <c r="AE1327" s="304"/>
    </row>
    <row r="1328" spans="2:31" ht="12">
      <c r="B1328" s="55"/>
      <c r="AB1328" s="304"/>
      <c r="AC1328" s="304"/>
      <c r="AD1328" s="304"/>
      <c r="AE1328" s="304"/>
    </row>
    <row r="1329" spans="2:31" ht="12">
      <c r="B1329" s="55"/>
      <c r="AB1329" s="304"/>
      <c r="AC1329" s="304"/>
      <c r="AD1329" s="304"/>
      <c r="AE1329" s="304"/>
    </row>
    <row r="1330" spans="2:31" ht="12">
      <c r="B1330" s="55"/>
      <c r="AB1330" s="304"/>
      <c r="AC1330" s="304"/>
      <c r="AD1330" s="304"/>
      <c r="AE1330" s="304"/>
    </row>
    <row r="1331" spans="2:31" ht="12">
      <c r="B1331" s="55"/>
      <c r="AB1331" s="304"/>
      <c r="AC1331" s="304"/>
      <c r="AD1331" s="304"/>
      <c r="AE1331" s="304"/>
    </row>
    <row r="1332" spans="2:31" ht="12">
      <c r="B1332" s="55"/>
      <c r="AB1332" s="304"/>
      <c r="AC1332" s="304"/>
      <c r="AD1332" s="304"/>
      <c r="AE1332" s="304"/>
    </row>
    <row r="1333" spans="2:31" ht="12">
      <c r="B1333" s="55"/>
      <c r="AB1333" s="304"/>
      <c r="AC1333" s="304"/>
      <c r="AD1333" s="304"/>
      <c r="AE1333" s="304"/>
    </row>
    <row r="1334" spans="2:31" ht="12">
      <c r="B1334" s="55"/>
      <c r="AB1334" s="304"/>
      <c r="AC1334" s="304"/>
      <c r="AD1334" s="304"/>
      <c r="AE1334" s="304"/>
    </row>
    <row r="1335" spans="2:31" ht="12">
      <c r="B1335" s="55"/>
      <c r="AB1335" s="304"/>
      <c r="AC1335" s="304"/>
      <c r="AD1335" s="304"/>
      <c r="AE1335" s="304"/>
    </row>
    <row r="1336" spans="2:31" ht="12">
      <c r="B1336" s="55"/>
      <c r="AB1336" s="304"/>
      <c r="AC1336" s="304"/>
      <c r="AD1336" s="304"/>
      <c r="AE1336" s="304"/>
    </row>
    <row r="1337" spans="2:31" ht="12">
      <c r="B1337" s="55"/>
      <c r="AB1337" s="304"/>
      <c r="AC1337" s="304"/>
      <c r="AD1337" s="304"/>
      <c r="AE1337" s="304"/>
    </row>
    <row r="1338" spans="2:31" ht="12">
      <c r="B1338" s="55"/>
      <c r="AB1338" s="304"/>
      <c r="AC1338" s="304"/>
      <c r="AD1338" s="304"/>
      <c r="AE1338" s="304"/>
    </row>
    <row r="1339" spans="2:31" ht="12">
      <c r="B1339" s="55"/>
      <c r="AB1339" s="304"/>
      <c r="AC1339" s="304"/>
      <c r="AD1339" s="304"/>
      <c r="AE1339" s="304"/>
    </row>
    <row r="1340" spans="2:31" ht="12">
      <c r="B1340" s="55"/>
      <c r="AB1340" s="304"/>
      <c r="AC1340" s="304"/>
      <c r="AD1340" s="304"/>
      <c r="AE1340" s="304"/>
    </row>
    <row r="1341" spans="2:31" ht="12">
      <c r="B1341" s="55"/>
      <c r="AB1341" s="304"/>
      <c r="AC1341" s="304"/>
      <c r="AD1341" s="304"/>
      <c r="AE1341" s="304"/>
    </row>
    <row r="1342" spans="2:31" ht="12">
      <c r="B1342" s="55"/>
      <c r="AB1342" s="304"/>
      <c r="AC1342" s="304"/>
      <c r="AD1342" s="304"/>
      <c r="AE1342" s="304"/>
    </row>
    <row r="1343" spans="2:31" ht="12">
      <c r="B1343" s="55"/>
      <c r="AB1343" s="304"/>
      <c r="AC1343" s="304"/>
      <c r="AD1343" s="304"/>
      <c r="AE1343" s="304"/>
    </row>
    <row r="1344" spans="2:31" ht="12">
      <c r="B1344" s="55"/>
      <c r="AB1344" s="304"/>
      <c r="AC1344" s="304"/>
      <c r="AD1344" s="304"/>
      <c r="AE1344" s="304"/>
    </row>
    <row r="1345" spans="2:31" ht="12">
      <c r="B1345" s="55"/>
      <c r="AB1345" s="304"/>
      <c r="AC1345" s="304"/>
      <c r="AD1345" s="304"/>
      <c r="AE1345" s="304"/>
    </row>
    <row r="1346" spans="2:31" ht="12">
      <c r="B1346" s="55"/>
      <c r="AB1346" s="304"/>
      <c r="AC1346" s="304"/>
      <c r="AD1346" s="304"/>
      <c r="AE1346" s="304"/>
    </row>
    <row r="1347" spans="2:31" ht="12">
      <c r="B1347" s="55"/>
      <c r="AB1347" s="304"/>
      <c r="AC1347" s="304"/>
      <c r="AD1347" s="304"/>
      <c r="AE1347" s="304"/>
    </row>
    <row r="1348" spans="2:31" ht="12">
      <c r="B1348" s="55"/>
      <c r="AB1348" s="304"/>
      <c r="AC1348" s="304"/>
      <c r="AD1348" s="304"/>
      <c r="AE1348" s="304"/>
    </row>
    <row r="1349" spans="2:31" ht="12">
      <c r="B1349" s="55"/>
      <c r="AB1349" s="304"/>
      <c r="AC1349" s="304"/>
      <c r="AD1349" s="304"/>
      <c r="AE1349" s="304"/>
    </row>
    <row r="1350" spans="2:31" ht="12">
      <c r="B1350" s="55"/>
      <c r="AB1350" s="304"/>
      <c r="AC1350" s="304"/>
      <c r="AD1350" s="304"/>
      <c r="AE1350" s="304"/>
    </row>
    <row r="1351" spans="2:31" ht="12">
      <c r="B1351" s="55"/>
      <c r="AB1351" s="304"/>
      <c r="AC1351" s="304"/>
      <c r="AD1351" s="304"/>
      <c r="AE1351" s="304"/>
    </row>
    <row r="1352" spans="2:31" ht="12">
      <c r="B1352" s="55"/>
      <c r="AB1352" s="304"/>
      <c r="AC1352" s="304"/>
      <c r="AD1352" s="304"/>
      <c r="AE1352" s="304"/>
    </row>
    <row r="1353" spans="2:31" ht="12">
      <c r="B1353" s="55"/>
      <c r="AB1353" s="304"/>
      <c r="AC1353" s="304"/>
      <c r="AD1353" s="304"/>
      <c r="AE1353" s="304"/>
    </row>
    <row r="1354" spans="2:31" ht="12">
      <c r="B1354" s="55"/>
      <c r="AB1354" s="304"/>
      <c r="AC1354" s="304"/>
      <c r="AD1354" s="304"/>
      <c r="AE1354" s="304"/>
    </row>
    <row r="1355" spans="2:31" ht="12">
      <c r="B1355" s="55"/>
      <c r="AB1355" s="304"/>
      <c r="AC1355" s="304"/>
      <c r="AD1355" s="304"/>
      <c r="AE1355" s="304"/>
    </row>
    <row r="1356" spans="2:31" ht="12">
      <c r="B1356" s="55"/>
      <c r="AB1356" s="304"/>
      <c r="AC1356" s="304"/>
      <c r="AD1356" s="304"/>
      <c r="AE1356" s="304"/>
    </row>
    <row r="1357" spans="2:31" ht="12">
      <c r="B1357" s="55"/>
      <c r="AB1357" s="304"/>
      <c r="AC1357" s="304"/>
      <c r="AD1357" s="304"/>
      <c r="AE1357" s="304"/>
    </row>
    <row r="1358" spans="2:31" ht="12">
      <c r="B1358" s="55"/>
      <c r="AB1358" s="304"/>
      <c r="AC1358" s="304"/>
      <c r="AD1358" s="304"/>
      <c r="AE1358" s="304"/>
    </row>
    <row r="1359" spans="2:31" ht="12">
      <c r="B1359" s="55"/>
      <c r="AB1359" s="304"/>
      <c r="AC1359" s="304"/>
      <c r="AD1359" s="304"/>
      <c r="AE1359" s="304"/>
    </row>
    <row r="1360" spans="2:31" ht="12">
      <c r="B1360" s="55"/>
      <c r="AB1360" s="304"/>
      <c r="AC1360" s="304"/>
      <c r="AD1360" s="304"/>
      <c r="AE1360" s="304"/>
    </row>
    <row r="1361" spans="2:31" ht="12">
      <c r="B1361" s="55"/>
      <c r="AB1361" s="304"/>
      <c r="AC1361" s="304"/>
      <c r="AD1361" s="304"/>
      <c r="AE1361" s="304"/>
    </row>
    <row r="1362" spans="2:31" ht="12">
      <c r="B1362" s="55"/>
      <c r="AB1362" s="304"/>
      <c r="AC1362" s="304"/>
      <c r="AD1362" s="304"/>
      <c r="AE1362" s="304"/>
    </row>
    <row r="1363" spans="2:31" ht="12">
      <c r="B1363" s="55"/>
      <c r="AB1363" s="304"/>
      <c r="AC1363" s="304"/>
      <c r="AD1363" s="304"/>
      <c r="AE1363" s="304"/>
    </row>
    <row r="1364" spans="2:31" ht="12">
      <c r="B1364" s="55"/>
      <c r="AB1364" s="304"/>
      <c r="AC1364" s="304"/>
      <c r="AD1364" s="304"/>
      <c r="AE1364" s="304"/>
    </row>
    <row r="1365" spans="2:31" ht="12">
      <c r="B1365" s="55"/>
      <c r="AB1365" s="304"/>
      <c r="AC1365" s="304"/>
      <c r="AD1365" s="304"/>
      <c r="AE1365" s="304"/>
    </row>
    <row r="1366" spans="2:31" ht="12">
      <c r="B1366" s="55"/>
      <c r="AB1366" s="304"/>
      <c r="AC1366" s="304"/>
      <c r="AD1366" s="304"/>
      <c r="AE1366" s="304"/>
    </row>
    <row r="1367" spans="2:31" ht="12">
      <c r="B1367" s="55"/>
      <c r="AB1367" s="304"/>
      <c r="AC1367" s="304"/>
      <c r="AD1367" s="304"/>
      <c r="AE1367" s="304"/>
    </row>
    <row r="1368" spans="2:31" ht="12">
      <c r="B1368" s="55"/>
      <c r="AB1368" s="304"/>
      <c r="AC1368" s="304"/>
      <c r="AD1368" s="304"/>
      <c r="AE1368" s="304"/>
    </row>
    <row r="1369" spans="2:31" ht="12">
      <c r="B1369" s="55"/>
      <c r="AB1369" s="304"/>
      <c r="AC1369" s="304"/>
      <c r="AD1369" s="304"/>
      <c r="AE1369" s="304"/>
    </row>
    <row r="1370" spans="2:31" ht="12">
      <c r="B1370" s="55"/>
      <c r="AB1370" s="304"/>
      <c r="AC1370" s="304"/>
      <c r="AD1370" s="304"/>
      <c r="AE1370" s="304"/>
    </row>
    <row r="1371" spans="2:31" ht="12">
      <c r="B1371" s="55"/>
      <c r="AB1371" s="304"/>
      <c r="AC1371" s="304"/>
      <c r="AD1371" s="304"/>
      <c r="AE1371" s="304"/>
    </row>
    <row r="1372" spans="2:31" ht="12">
      <c r="B1372" s="55"/>
      <c r="AB1372" s="304"/>
      <c r="AC1372" s="304"/>
      <c r="AD1372" s="304"/>
      <c r="AE1372" s="304"/>
    </row>
    <row r="1373" spans="2:31" ht="12">
      <c r="B1373" s="55"/>
      <c r="AB1373" s="304"/>
      <c r="AC1373" s="304"/>
      <c r="AD1373" s="304"/>
      <c r="AE1373" s="304"/>
    </row>
    <row r="1374" spans="2:31" ht="12">
      <c r="B1374" s="55"/>
      <c r="AB1374" s="304"/>
      <c r="AC1374" s="304"/>
      <c r="AD1374" s="304"/>
      <c r="AE1374" s="304"/>
    </row>
    <row r="1375" spans="2:31" ht="12">
      <c r="B1375" s="55"/>
      <c r="AB1375" s="304"/>
      <c r="AC1375" s="304"/>
      <c r="AD1375" s="304"/>
      <c r="AE1375" s="304"/>
    </row>
    <row r="1376" spans="2:31" ht="12">
      <c r="B1376" s="55"/>
      <c r="AB1376" s="304"/>
      <c r="AC1376" s="304"/>
      <c r="AD1376" s="304"/>
      <c r="AE1376" s="304"/>
    </row>
    <row r="1377" spans="2:31" ht="12">
      <c r="B1377" s="55"/>
      <c r="AB1377" s="304"/>
      <c r="AC1377" s="304"/>
      <c r="AD1377" s="304"/>
      <c r="AE1377" s="304"/>
    </row>
    <row r="1378" spans="2:31" ht="12">
      <c r="B1378" s="55"/>
      <c r="AB1378" s="304"/>
      <c r="AC1378" s="304"/>
      <c r="AD1378" s="304"/>
      <c r="AE1378" s="304"/>
    </row>
    <row r="1379" spans="2:31" ht="12">
      <c r="B1379" s="55"/>
      <c r="AB1379" s="304"/>
      <c r="AC1379" s="304"/>
      <c r="AD1379" s="304"/>
      <c r="AE1379" s="304"/>
    </row>
    <row r="1380" spans="2:31" ht="12">
      <c r="B1380" s="55"/>
      <c r="AB1380" s="304"/>
      <c r="AC1380" s="304"/>
      <c r="AD1380" s="304"/>
      <c r="AE1380" s="304"/>
    </row>
    <row r="1381" spans="2:31" ht="12">
      <c r="B1381" s="55"/>
      <c r="AB1381" s="304"/>
      <c r="AC1381" s="304"/>
      <c r="AD1381" s="304"/>
      <c r="AE1381" s="304"/>
    </row>
    <row r="1382" spans="2:31" ht="12">
      <c r="B1382" s="55"/>
      <c r="AB1382" s="304"/>
      <c r="AC1382" s="304"/>
      <c r="AD1382" s="304"/>
      <c r="AE1382" s="304"/>
    </row>
    <row r="1383" spans="2:31" ht="12">
      <c r="B1383" s="55"/>
      <c r="AB1383" s="304"/>
      <c r="AC1383" s="304"/>
      <c r="AD1383" s="304"/>
      <c r="AE1383" s="304"/>
    </row>
    <row r="1384" spans="2:31" ht="12">
      <c r="B1384" s="55"/>
      <c r="AB1384" s="304"/>
      <c r="AC1384" s="304"/>
      <c r="AD1384" s="304"/>
      <c r="AE1384" s="304"/>
    </row>
    <row r="1385" spans="2:31" ht="12">
      <c r="B1385" s="55"/>
      <c r="AB1385" s="304"/>
      <c r="AC1385" s="304"/>
      <c r="AD1385" s="304"/>
      <c r="AE1385" s="304"/>
    </row>
    <row r="1386" spans="2:31" ht="12">
      <c r="B1386" s="55"/>
      <c r="AB1386" s="304"/>
      <c r="AC1386" s="304"/>
      <c r="AD1386" s="304"/>
      <c r="AE1386" s="304"/>
    </row>
    <row r="1387" spans="2:31" ht="12">
      <c r="B1387" s="55"/>
      <c r="AB1387" s="304"/>
      <c r="AC1387" s="304"/>
      <c r="AD1387" s="304"/>
      <c r="AE1387" s="304"/>
    </row>
    <row r="1388" spans="2:31" ht="12">
      <c r="B1388" s="55"/>
      <c r="AB1388" s="304"/>
      <c r="AC1388" s="304"/>
      <c r="AD1388" s="304"/>
      <c r="AE1388" s="304"/>
    </row>
    <row r="1389" spans="2:31" ht="12">
      <c r="B1389" s="55"/>
      <c r="AB1389" s="304"/>
      <c r="AC1389" s="304"/>
      <c r="AD1389" s="304"/>
      <c r="AE1389" s="304"/>
    </row>
    <row r="1390" spans="2:31" ht="12">
      <c r="B1390" s="55"/>
      <c r="AB1390" s="304"/>
      <c r="AC1390" s="304"/>
      <c r="AD1390" s="304"/>
      <c r="AE1390" s="304"/>
    </row>
    <row r="1391" spans="2:31" ht="12">
      <c r="B1391" s="55"/>
      <c r="AB1391" s="304"/>
      <c r="AC1391" s="304"/>
      <c r="AD1391" s="304"/>
      <c r="AE1391" s="304"/>
    </row>
    <row r="1392" spans="2:31" ht="12">
      <c r="B1392" s="55"/>
      <c r="AB1392" s="304"/>
      <c r="AC1392" s="304"/>
      <c r="AD1392" s="304"/>
      <c r="AE1392" s="304"/>
    </row>
    <row r="1393" spans="2:31" ht="12">
      <c r="B1393" s="55"/>
      <c r="AB1393" s="304"/>
      <c r="AC1393" s="304"/>
      <c r="AD1393" s="304"/>
      <c r="AE1393" s="304"/>
    </row>
    <row r="1394" spans="2:31" ht="12">
      <c r="B1394" s="55"/>
      <c r="AB1394" s="304"/>
      <c r="AC1394" s="304"/>
      <c r="AD1394" s="304"/>
      <c r="AE1394" s="304"/>
    </row>
    <row r="1395" spans="2:31" ht="12">
      <c r="B1395" s="55"/>
      <c r="AB1395" s="304"/>
      <c r="AC1395" s="304"/>
      <c r="AD1395" s="304"/>
      <c r="AE1395" s="304"/>
    </row>
    <row r="1396" spans="2:31" ht="12">
      <c r="B1396" s="55"/>
      <c r="AB1396" s="304"/>
      <c r="AC1396" s="304"/>
      <c r="AD1396" s="304"/>
      <c r="AE1396" s="304"/>
    </row>
    <row r="1397" spans="2:31" ht="12">
      <c r="B1397" s="55"/>
      <c r="AB1397" s="304"/>
      <c r="AC1397" s="304"/>
      <c r="AD1397" s="304"/>
      <c r="AE1397" s="304"/>
    </row>
    <row r="1398" spans="2:31" ht="12">
      <c r="B1398" s="55"/>
      <c r="AB1398" s="304"/>
      <c r="AC1398" s="304"/>
      <c r="AD1398" s="304"/>
      <c r="AE1398" s="304"/>
    </row>
    <row r="1399" spans="2:31" ht="12">
      <c r="B1399" s="55"/>
      <c r="AB1399" s="304"/>
      <c r="AC1399" s="304"/>
      <c r="AD1399" s="304"/>
      <c r="AE1399" s="304"/>
    </row>
    <row r="1400" spans="2:31" ht="12">
      <c r="B1400" s="55"/>
      <c r="AB1400" s="304"/>
      <c r="AC1400" s="304"/>
      <c r="AD1400" s="304"/>
      <c r="AE1400" s="304"/>
    </row>
    <row r="1401" spans="2:31" ht="12">
      <c r="B1401" s="55"/>
      <c r="AB1401" s="304"/>
      <c r="AC1401" s="304"/>
      <c r="AD1401" s="304"/>
      <c r="AE1401" s="304"/>
    </row>
    <row r="1402" spans="2:31" ht="12">
      <c r="B1402" s="55"/>
      <c r="AB1402" s="304"/>
      <c r="AC1402" s="304"/>
      <c r="AD1402" s="304"/>
      <c r="AE1402" s="304"/>
    </row>
    <row r="1403" spans="2:31" ht="12">
      <c r="B1403" s="55"/>
      <c r="AB1403" s="304"/>
      <c r="AC1403" s="304"/>
      <c r="AD1403" s="304"/>
      <c r="AE1403" s="304"/>
    </row>
    <row r="1404" spans="2:31" ht="12">
      <c r="B1404" s="55"/>
      <c r="AB1404" s="304"/>
      <c r="AC1404" s="304"/>
      <c r="AD1404" s="304"/>
      <c r="AE1404" s="304"/>
    </row>
    <row r="1405" spans="2:31" ht="12">
      <c r="B1405" s="55"/>
      <c r="AB1405" s="304"/>
      <c r="AC1405" s="304"/>
      <c r="AD1405" s="304"/>
      <c r="AE1405" s="304"/>
    </row>
    <row r="1406" spans="2:31" ht="12">
      <c r="B1406" s="55"/>
      <c r="AB1406" s="304"/>
      <c r="AC1406" s="304"/>
      <c r="AD1406" s="304"/>
      <c r="AE1406" s="304"/>
    </row>
    <row r="1407" spans="2:31" ht="12">
      <c r="B1407" s="55"/>
      <c r="AB1407" s="304"/>
      <c r="AC1407" s="304"/>
      <c r="AD1407" s="304"/>
      <c r="AE1407" s="304"/>
    </row>
    <row r="1408" spans="2:31" ht="12">
      <c r="B1408" s="55"/>
      <c r="AB1408" s="304"/>
      <c r="AC1408" s="304"/>
      <c r="AD1408" s="304"/>
      <c r="AE1408" s="304"/>
    </row>
    <row r="1409" spans="2:31" ht="12">
      <c r="B1409" s="55"/>
      <c r="AB1409" s="304"/>
      <c r="AC1409" s="304"/>
      <c r="AD1409" s="304"/>
      <c r="AE1409" s="304"/>
    </row>
    <row r="1410" spans="2:31" ht="12">
      <c r="B1410" s="55"/>
      <c r="AB1410" s="304"/>
      <c r="AC1410" s="304"/>
      <c r="AD1410" s="304"/>
      <c r="AE1410" s="304"/>
    </row>
    <row r="1411" spans="2:31" ht="12">
      <c r="B1411" s="55"/>
      <c r="AB1411" s="304"/>
      <c r="AC1411" s="304"/>
      <c r="AD1411" s="304"/>
      <c r="AE1411" s="304"/>
    </row>
    <row r="1412" spans="2:31" ht="12">
      <c r="B1412" s="55"/>
      <c r="AB1412" s="304"/>
      <c r="AC1412" s="304"/>
      <c r="AD1412" s="304"/>
      <c r="AE1412" s="304"/>
    </row>
    <row r="1413" spans="2:31" ht="12">
      <c r="B1413" s="55"/>
      <c r="AB1413" s="304"/>
      <c r="AC1413" s="304"/>
      <c r="AD1413" s="304"/>
      <c r="AE1413" s="304"/>
    </row>
    <row r="1414" spans="2:31" ht="12">
      <c r="B1414" s="55"/>
      <c r="AB1414" s="304"/>
      <c r="AC1414" s="304"/>
      <c r="AD1414" s="304"/>
      <c r="AE1414" s="304"/>
    </row>
    <row r="1415" spans="2:31" ht="12">
      <c r="B1415" s="55"/>
      <c r="AB1415" s="304"/>
      <c r="AC1415" s="304"/>
      <c r="AD1415" s="304"/>
      <c r="AE1415" s="304"/>
    </row>
    <row r="1416" spans="2:31" ht="12">
      <c r="B1416" s="55"/>
      <c r="AB1416" s="304"/>
      <c r="AC1416" s="304"/>
      <c r="AD1416" s="304"/>
      <c r="AE1416" s="304"/>
    </row>
    <row r="1417" spans="2:31" ht="12">
      <c r="B1417" s="55"/>
      <c r="AB1417" s="304"/>
      <c r="AC1417" s="304"/>
      <c r="AD1417" s="304"/>
      <c r="AE1417" s="304"/>
    </row>
    <row r="1418" spans="2:31" ht="12">
      <c r="B1418" s="55"/>
      <c r="AB1418" s="304"/>
      <c r="AC1418" s="304"/>
      <c r="AD1418" s="304"/>
      <c r="AE1418" s="304"/>
    </row>
    <row r="1419" spans="2:31" ht="12">
      <c r="B1419" s="55"/>
      <c r="AB1419" s="304"/>
      <c r="AC1419" s="304"/>
      <c r="AD1419" s="304"/>
      <c r="AE1419" s="304"/>
    </row>
    <row r="1420" spans="2:31" ht="12">
      <c r="B1420" s="55"/>
      <c r="AB1420" s="304"/>
      <c r="AC1420" s="304"/>
      <c r="AD1420" s="304"/>
      <c r="AE1420" s="304"/>
    </row>
    <row r="1421" spans="2:31" ht="12">
      <c r="B1421" s="55"/>
      <c r="AB1421" s="304"/>
      <c r="AC1421" s="304"/>
      <c r="AD1421" s="304"/>
      <c r="AE1421" s="304"/>
    </row>
    <row r="1422" spans="2:31" ht="12">
      <c r="B1422" s="55"/>
      <c r="AB1422" s="304"/>
      <c r="AC1422" s="304"/>
      <c r="AD1422" s="304"/>
      <c r="AE1422" s="304"/>
    </row>
    <row r="1423" spans="2:31" ht="12">
      <c r="B1423" s="55"/>
      <c r="AB1423" s="304"/>
      <c r="AC1423" s="304"/>
      <c r="AD1423" s="304"/>
      <c r="AE1423" s="304"/>
    </row>
    <row r="1424" spans="2:31" ht="12">
      <c r="B1424" s="55"/>
      <c r="AB1424" s="304"/>
      <c r="AC1424" s="304"/>
      <c r="AD1424" s="304"/>
      <c r="AE1424" s="304"/>
    </row>
    <row r="1425" spans="2:31" ht="12">
      <c r="B1425" s="55"/>
      <c r="AB1425" s="304"/>
      <c r="AC1425" s="304"/>
      <c r="AD1425" s="304"/>
      <c r="AE1425" s="304"/>
    </row>
    <row r="1426" spans="2:31" ht="12">
      <c r="B1426" s="55"/>
      <c r="AB1426" s="304"/>
      <c r="AC1426" s="304"/>
      <c r="AD1426" s="304"/>
      <c r="AE1426" s="304"/>
    </row>
    <row r="1427" spans="2:31" ht="12">
      <c r="B1427" s="55"/>
      <c r="AB1427" s="304"/>
      <c r="AC1427" s="304"/>
      <c r="AD1427" s="304"/>
      <c r="AE1427" s="304"/>
    </row>
    <row r="1428" spans="2:31" ht="12">
      <c r="B1428" s="55"/>
      <c r="AB1428" s="304"/>
      <c r="AC1428" s="304"/>
      <c r="AD1428" s="304"/>
      <c r="AE1428" s="304"/>
    </row>
    <row r="1429" spans="2:31" ht="12">
      <c r="B1429" s="55"/>
      <c r="AB1429" s="304"/>
      <c r="AC1429" s="304"/>
      <c r="AD1429" s="304"/>
      <c r="AE1429" s="304"/>
    </row>
    <row r="1430" spans="2:31" ht="12">
      <c r="B1430" s="55"/>
      <c r="AB1430" s="304"/>
      <c r="AC1430" s="304"/>
      <c r="AD1430" s="304"/>
      <c r="AE1430" s="304"/>
    </row>
    <row r="1431" spans="2:31" ht="12">
      <c r="B1431" s="55"/>
      <c r="AB1431" s="304"/>
      <c r="AC1431" s="304"/>
      <c r="AD1431" s="304"/>
      <c r="AE1431" s="304"/>
    </row>
    <row r="1432" spans="2:31" ht="12">
      <c r="B1432" s="55"/>
      <c r="AB1432" s="304"/>
      <c r="AC1432" s="304"/>
      <c r="AD1432" s="304"/>
      <c r="AE1432" s="304"/>
    </row>
    <row r="1433" spans="2:31" ht="12">
      <c r="B1433" s="55"/>
      <c r="AB1433" s="304"/>
      <c r="AC1433" s="304"/>
      <c r="AD1433" s="304"/>
      <c r="AE1433" s="304"/>
    </row>
    <row r="1434" spans="2:31" ht="12">
      <c r="B1434" s="55"/>
      <c r="AB1434" s="304"/>
      <c r="AC1434" s="304"/>
      <c r="AD1434" s="304"/>
      <c r="AE1434" s="304"/>
    </row>
    <row r="1435" spans="2:31" ht="12">
      <c r="B1435" s="55"/>
      <c r="AB1435" s="304"/>
      <c r="AC1435" s="304"/>
      <c r="AD1435" s="304"/>
      <c r="AE1435" s="304"/>
    </row>
    <row r="1436" spans="2:31" ht="12">
      <c r="B1436" s="55"/>
      <c r="AB1436" s="304"/>
      <c r="AC1436" s="304"/>
      <c r="AD1436" s="304"/>
      <c r="AE1436" s="304"/>
    </row>
    <row r="1437" spans="2:31" ht="12">
      <c r="B1437" s="55"/>
      <c r="AB1437" s="304"/>
      <c r="AC1437" s="304"/>
      <c r="AD1437" s="304"/>
      <c r="AE1437" s="304"/>
    </row>
    <row r="1438" spans="2:31" ht="12">
      <c r="B1438" s="55"/>
      <c r="AB1438" s="304"/>
      <c r="AC1438" s="304"/>
      <c r="AD1438" s="304"/>
      <c r="AE1438" s="304"/>
    </row>
    <row r="1439" spans="2:31" ht="12">
      <c r="B1439" s="55"/>
      <c r="AB1439" s="304"/>
      <c r="AC1439" s="304"/>
      <c r="AD1439" s="304"/>
      <c r="AE1439" s="304"/>
    </row>
    <row r="1440" spans="2:31" ht="12">
      <c r="B1440" s="55"/>
      <c r="AB1440" s="304"/>
      <c r="AC1440" s="304"/>
      <c r="AD1440" s="304"/>
      <c r="AE1440" s="304"/>
    </row>
    <row r="1441" spans="2:31" ht="12">
      <c r="B1441" s="55"/>
      <c r="AB1441" s="304"/>
      <c r="AC1441" s="304"/>
      <c r="AD1441" s="304"/>
      <c r="AE1441" s="304"/>
    </row>
    <row r="1442" spans="2:31" ht="12">
      <c r="B1442" s="55"/>
      <c r="AB1442" s="304"/>
      <c r="AC1442" s="304"/>
      <c r="AD1442" s="304"/>
      <c r="AE1442" s="304"/>
    </row>
    <row r="1443" spans="2:31" ht="12">
      <c r="B1443" s="55"/>
      <c r="AB1443" s="304"/>
      <c r="AC1443" s="304"/>
      <c r="AD1443" s="304"/>
      <c r="AE1443" s="304"/>
    </row>
    <row r="1444" spans="2:31" ht="12">
      <c r="B1444" s="55"/>
      <c r="AB1444" s="304"/>
      <c r="AC1444" s="304"/>
      <c r="AD1444" s="304"/>
      <c r="AE1444" s="304"/>
    </row>
    <row r="1445" spans="2:31" ht="12">
      <c r="B1445" s="55"/>
      <c r="AB1445" s="304"/>
      <c r="AC1445" s="304"/>
      <c r="AD1445" s="304"/>
      <c r="AE1445" s="304"/>
    </row>
    <row r="1446" spans="2:31" ht="12">
      <c r="B1446" s="55"/>
      <c r="AB1446" s="304"/>
      <c r="AC1446" s="304"/>
      <c r="AD1446" s="304"/>
      <c r="AE1446" s="304"/>
    </row>
    <row r="1447" spans="2:31" ht="12">
      <c r="B1447" s="55"/>
      <c r="AB1447" s="304"/>
      <c r="AC1447" s="304"/>
      <c r="AD1447" s="304"/>
      <c r="AE1447" s="304"/>
    </row>
    <row r="1448" spans="2:31" ht="12">
      <c r="B1448" s="55"/>
      <c r="AB1448" s="304"/>
      <c r="AC1448" s="304"/>
      <c r="AD1448" s="304"/>
      <c r="AE1448" s="304"/>
    </row>
    <row r="1449" spans="2:31" ht="12">
      <c r="B1449" s="55"/>
      <c r="AB1449" s="304"/>
      <c r="AC1449" s="304"/>
      <c r="AD1449" s="304"/>
      <c r="AE1449" s="304"/>
    </row>
    <row r="1450" spans="2:31" ht="12">
      <c r="B1450" s="55"/>
      <c r="AB1450" s="304"/>
      <c r="AC1450" s="304"/>
      <c r="AD1450" s="304"/>
      <c r="AE1450" s="304"/>
    </row>
    <row r="1451" spans="2:31" ht="12">
      <c r="B1451" s="55"/>
      <c r="AB1451" s="304"/>
      <c r="AC1451" s="304"/>
      <c r="AD1451" s="304"/>
      <c r="AE1451" s="304"/>
    </row>
    <row r="1452" spans="2:31" ht="12">
      <c r="B1452" s="55"/>
      <c r="AB1452" s="304"/>
      <c r="AC1452" s="304"/>
      <c r="AD1452" s="304"/>
      <c r="AE1452" s="304"/>
    </row>
    <row r="1453" spans="2:31" ht="12">
      <c r="B1453" s="55"/>
      <c r="AB1453" s="304"/>
      <c r="AC1453" s="304"/>
      <c r="AD1453" s="304"/>
      <c r="AE1453" s="304"/>
    </row>
    <row r="1454" spans="2:31" ht="12">
      <c r="B1454" s="55"/>
      <c r="AB1454" s="304"/>
      <c r="AC1454" s="304"/>
      <c r="AD1454" s="304"/>
      <c r="AE1454" s="304"/>
    </row>
    <row r="1455" spans="2:31" ht="12">
      <c r="B1455" s="55"/>
      <c r="AB1455" s="304"/>
      <c r="AC1455" s="304"/>
      <c r="AD1455" s="304"/>
      <c r="AE1455" s="304"/>
    </row>
    <row r="1456" spans="2:31" ht="12">
      <c r="B1456" s="55"/>
      <c r="AB1456" s="304"/>
      <c r="AC1456" s="304"/>
      <c r="AD1456" s="304"/>
      <c r="AE1456" s="304"/>
    </row>
    <row r="1457" spans="2:31" ht="12">
      <c r="B1457" s="55"/>
      <c r="AB1457" s="304"/>
      <c r="AC1457" s="304"/>
      <c r="AD1457" s="304"/>
      <c r="AE1457" s="304"/>
    </row>
    <row r="1458" spans="2:31" ht="12">
      <c r="B1458" s="55"/>
      <c r="AB1458" s="304"/>
      <c r="AC1458" s="304"/>
      <c r="AD1458" s="304"/>
      <c r="AE1458" s="304"/>
    </row>
    <row r="1459" spans="2:31" ht="12">
      <c r="B1459" s="55"/>
      <c r="AB1459" s="304"/>
      <c r="AC1459" s="304"/>
      <c r="AD1459" s="304"/>
      <c r="AE1459" s="304"/>
    </row>
    <row r="1460" spans="2:31" ht="12">
      <c r="B1460" s="55"/>
      <c r="AB1460" s="304"/>
      <c r="AC1460" s="304"/>
      <c r="AD1460" s="304"/>
      <c r="AE1460" s="304"/>
    </row>
    <row r="1461" spans="2:31" ht="12">
      <c r="B1461" s="55"/>
      <c r="AB1461" s="304"/>
      <c r="AC1461" s="304"/>
      <c r="AD1461" s="304"/>
      <c r="AE1461" s="304"/>
    </row>
    <row r="1462" spans="2:31" ht="12">
      <c r="B1462" s="55"/>
      <c r="AB1462" s="304"/>
      <c r="AC1462" s="304"/>
      <c r="AD1462" s="304"/>
      <c r="AE1462" s="304"/>
    </row>
    <row r="1463" spans="2:31" ht="12">
      <c r="B1463" s="55"/>
      <c r="AB1463" s="304"/>
      <c r="AC1463" s="304"/>
      <c r="AD1463" s="304"/>
      <c r="AE1463" s="304"/>
    </row>
    <row r="1464" spans="2:31" ht="12">
      <c r="B1464" s="55"/>
      <c r="AB1464" s="304"/>
      <c r="AC1464" s="304"/>
      <c r="AD1464" s="304"/>
      <c r="AE1464" s="304"/>
    </row>
    <row r="1465" spans="2:31" ht="12">
      <c r="B1465" s="55"/>
      <c r="AB1465" s="304"/>
      <c r="AC1465" s="304"/>
      <c r="AD1465" s="304"/>
      <c r="AE1465" s="304"/>
    </row>
    <row r="1466" spans="2:31" ht="12">
      <c r="B1466" s="55"/>
      <c r="AB1466" s="304"/>
      <c r="AC1466" s="304"/>
      <c r="AD1466" s="304"/>
      <c r="AE1466" s="304"/>
    </row>
    <row r="1467" spans="2:31" ht="12">
      <c r="B1467" s="55"/>
      <c r="AB1467" s="304"/>
      <c r="AC1467" s="304"/>
      <c r="AD1467" s="304"/>
      <c r="AE1467" s="304"/>
    </row>
    <row r="1468" spans="2:31" ht="12">
      <c r="B1468" s="55"/>
      <c r="AB1468" s="304"/>
      <c r="AC1468" s="304"/>
      <c r="AD1468" s="304"/>
      <c r="AE1468" s="304"/>
    </row>
    <row r="1469" spans="2:31" ht="12">
      <c r="B1469" s="55"/>
      <c r="AB1469" s="304"/>
      <c r="AC1469" s="304"/>
      <c r="AD1469" s="304"/>
      <c r="AE1469" s="304"/>
    </row>
    <row r="1470" spans="2:31" ht="12">
      <c r="B1470" s="55"/>
      <c r="AB1470" s="304"/>
      <c r="AC1470" s="304"/>
      <c r="AD1470" s="304"/>
      <c r="AE1470" s="304"/>
    </row>
    <row r="1471" spans="2:31" ht="12">
      <c r="B1471" s="55"/>
      <c r="AB1471" s="304"/>
      <c r="AC1471" s="304"/>
      <c r="AD1471" s="304"/>
      <c r="AE1471" s="304"/>
    </row>
    <row r="1472" spans="2:31" ht="12">
      <c r="B1472" s="55"/>
      <c r="AB1472" s="304"/>
      <c r="AC1472" s="304"/>
      <c r="AD1472" s="304"/>
      <c r="AE1472" s="304"/>
    </row>
    <row r="1473" spans="2:31" ht="12">
      <c r="B1473" s="55"/>
      <c r="AB1473" s="304"/>
      <c r="AC1473" s="304"/>
      <c r="AD1473" s="304"/>
      <c r="AE1473" s="304"/>
    </row>
    <row r="1474" spans="2:31" ht="12">
      <c r="B1474" s="55"/>
      <c r="AB1474" s="304"/>
      <c r="AC1474" s="304"/>
      <c r="AD1474" s="304"/>
      <c r="AE1474" s="304"/>
    </row>
    <row r="1475" spans="2:31" ht="12">
      <c r="B1475" s="55"/>
      <c r="AB1475" s="304"/>
      <c r="AC1475" s="304"/>
      <c r="AD1475" s="304"/>
      <c r="AE1475" s="304"/>
    </row>
    <row r="1476" spans="2:31" ht="12">
      <c r="B1476" s="55"/>
      <c r="AB1476" s="304"/>
      <c r="AC1476" s="304"/>
      <c r="AD1476" s="304"/>
      <c r="AE1476" s="304"/>
    </row>
    <row r="1477" spans="2:31" ht="12">
      <c r="B1477" s="55"/>
      <c r="AB1477" s="304"/>
      <c r="AC1477" s="304"/>
      <c r="AD1477" s="304"/>
      <c r="AE1477" s="304"/>
    </row>
    <row r="1478" spans="2:31" ht="12">
      <c r="B1478" s="55"/>
      <c r="AB1478" s="304"/>
      <c r="AC1478" s="304"/>
      <c r="AD1478" s="304"/>
      <c r="AE1478" s="304"/>
    </row>
    <row r="1479" spans="2:31" ht="12">
      <c r="B1479" s="55"/>
      <c r="AB1479" s="304"/>
      <c r="AC1479" s="304"/>
      <c r="AD1479" s="304"/>
      <c r="AE1479" s="304"/>
    </row>
    <row r="1480" spans="2:31" ht="12">
      <c r="B1480" s="55"/>
      <c r="AB1480" s="304"/>
      <c r="AC1480" s="304"/>
      <c r="AD1480" s="304"/>
      <c r="AE1480" s="304"/>
    </row>
    <row r="1481" spans="2:31" ht="12">
      <c r="B1481" s="55"/>
      <c r="AB1481" s="304"/>
      <c r="AC1481" s="304"/>
      <c r="AD1481" s="304"/>
      <c r="AE1481" s="304"/>
    </row>
    <row r="1482" spans="2:31" ht="12">
      <c r="B1482" s="55"/>
      <c r="AB1482" s="304"/>
      <c r="AC1482" s="304"/>
      <c r="AD1482" s="304"/>
      <c r="AE1482" s="304"/>
    </row>
    <row r="1483" spans="2:31" ht="12">
      <c r="B1483" s="55"/>
      <c r="AB1483" s="304"/>
      <c r="AC1483" s="304"/>
      <c r="AD1483" s="304"/>
      <c r="AE1483" s="304"/>
    </row>
    <row r="1484" spans="2:31" ht="12">
      <c r="B1484" s="55"/>
      <c r="AB1484" s="304"/>
      <c r="AC1484" s="304"/>
      <c r="AD1484" s="304"/>
      <c r="AE1484" s="304"/>
    </row>
    <row r="1485" spans="2:31" ht="12">
      <c r="B1485" s="55"/>
      <c r="AB1485" s="304"/>
      <c r="AC1485" s="304"/>
      <c r="AD1485" s="304"/>
      <c r="AE1485" s="304"/>
    </row>
    <row r="1486" spans="2:31" ht="12">
      <c r="B1486" s="55"/>
      <c r="AB1486" s="304"/>
      <c r="AC1486" s="304"/>
      <c r="AD1486" s="304"/>
      <c r="AE1486" s="304"/>
    </row>
    <row r="1487" spans="2:31" ht="12">
      <c r="B1487" s="55"/>
      <c r="AB1487" s="304"/>
      <c r="AC1487" s="304"/>
      <c r="AD1487" s="304"/>
      <c r="AE1487" s="304"/>
    </row>
    <row r="1488" spans="2:31" ht="12">
      <c r="B1488" s="55"/>
      <c r="AB1488" s="304"/>
      <c r="AC1488" s="304"/>
      <c r="AD1488" s="304"/>
      <c r="AE1488" s="304"/>
    </row>
    <row r="1489" spans="2:31" ht="12">
      <c r="B1489" s="55"/>
      <c r="AB1489" s="304"/>
      <c r="AC1489" s="304"/>
      <c r="AD1489" s="304"/>
      <c r="AE1489" s="304"/>
    </row>
    <row r="1490" spans="2:31" ht="12">
      <c r="B1490" s="55"/>
      <c r="AB1490" s="304"/>
      <c r="AC1490" s="304"/>
      <c r="AD1490" s="304"/>
      <c r="AE1490" s="304"/>
    </row>
    <row r="1491" spans="2:31" ht="12">
      <c r="B1491" s="55"/>
      <c r="AB1491" s="304"/>
      <c r="AC1491" s="304"/>
      <c r="AD1491" s="304"/>
      <c r="AE1491" s="304"/>
    </row>
    <row r="1492" spans="2:31" ht="12">
      <c r="B1492" s="55"/>
      <c r="AB1492" s="304"/>
      <c r="AC1492" s="304"/>
      <c r="AD1492" s="304"/>
      <c r="AE1492" s="304"/>
    </row>
    <row r="1493" spans="2:31" ht="12">
      <c r="B1493" s="55"/>
      <c r="AB1493" s="304"/>
      <c r="AC1493" s="304"/>
      <c r="AD1493" s="304"/>
      <c r="AE1493" s="304"/>
    </row>
    <row r="1494" spans="2:31" ht="12">
      <c r="B1494" s="55"/>
      <c r="AB1494" s="304"/>
      <c r="AC1494" s="304"/>
      <c r="AD1494" s="304"/>
      <c r="AE1494" s="304"/>
    </row>
    <row r="1495" spans="2:31" ht="12">
      <c r="B1495" s="55"/>
      <c r="AB1495" s="304"/>
      <c r="AC1495" s="304"/>
      <c r="AD1495" s="304"/>
      <c r="AE1495" s="304"/>
    </row>
    <row r="1496" spans="2:31" ht="12">
      <c r="B1496" s="55"/>
      <c r="AB1496" s="304"/>
      <c r="AC1496" s="304"/>
      <c r="AD1496" s="304"/>
      <c r="AE1496" s="304"/>
    </row>
    <row r="1497" spans="2:31" ht="12">
      <c r="B1497" s="55"/>
      <c r="AB1497" s="304"/>
      <c r="AC1497" s="304"/>
      <c r="AD1497" s="304"/>
      <c r="AE1497" s="304"/>
    </row>
    <row r="1498" spans="2:31" ht="12">
      <c r="B1498" s="55"/>
      <c r="AB1498" s="304"/>
      <c r="AC1498" s="304"/>
      <c r="AD1498" s="304"/>
      <c r="AE1498" s="304"/>
    </row>
    <row r="1499" spans="2:31" ht="12">
      <c r="B1499" s="55"/>
      <c r="AB1499" s="304"/>
      <c r="AC1499" s="304"/>
      <c r="AD1499" s="304"/>
      <c r="AE1499" s="304"/>
    </row>
    <row r="1500" spans="2:31" ht="12">
      <c r="B1500" s="55"/>
      <c r="AB1500" s="304"/>
      <c r="AC1500" s="304"/>
      <c r="AD1500" s="304"/>
      <c r="AE1500" s="304"/>
    </row>
    <row r="1501" spans="2:31" ht="12">
      <c r="B1501" s="55"/>
      <c r="AB1501" s="304"/>
      <c r="AC1501" s="304"/>
      <c r="AD1501" s="304"/>
      <c r="AE1501" s="304"/>
    </row>
    <row r="1502" spans="2:31" ht="12">
      <c r="B1502" s="55"/>
      <c r="AB1502" s="304"/>
      <c r="AC1502" s="304"/>
      <c r="AD1502" s="304"/>
      <c r="AE1502" s="304"/>
    </row>
    <row r="1503" spans="2:31" ht="12">
      <c r="B1503" s="55"/>
      <c r="AB1503" s="304"/>
      <c r="AC1503" s="304"/>
      <c r="AD1503" s="304"/>
      <c r="AE1503" s="304"/>
    </row>
    <row r="1504" spans="2:31" ht="12">
      <c r="B1504" s="55"/>
      <c r="AB1504" s="304"/>
      <c r="AC1504" s="304"/>
      <c r="AD1504" s="304"/>
      <c r="AE1504" s="304"/>
    </row>
    <row r="1505" spans="2:31" ht="12">
      <c r="B1505" s="55"/>
      <c r="AB1505" s="304"/>
      <c r="AC1505" s="304"/>
      <c r="AD1505" s="304"/>
      <c r="AE1505" s="304"/>
    </row>
    <row r="1506" spans="2:31" ht="12">
      <c r="B1506" s="55"/>
      <c r="AB1506" s="304"/>
      <c r="AC1506" s="304"/>
      <c r="AD1506" s="304"/>
      <c r="AE1506" s="304"/>
    </row>
    <row r="1507" spans="2:31" ht="12">
      <c r="B1507" s="55"/>
      <c r="AB1507" s="304"/>
      <c r="AC1507" s="304"/>
      <c r="AD1507" s="304"/>
      <c r="AE1507" s="304"/>
    </row>
    <row r="1508" spans="2:31" ht="12">
      <c r="B1508" s="55"/>
      <c r="AB1508" s="304"/>
      <c r="AC1508" s="304"/>
      <c r="AD1508" s="304"/>
      <c r="AE1508" s="304"/>
    </row>
    <row r="1509" spans="2:31" ht="12">
      <c r="B1509" s="55"/>
      <c r="AB1509" s="304"/>
      <c r="AC1509" s="304"/>
      <c r="AD1509" s="304"/>
      <c r="AE1509" s="304"/>
    </row>
    <row r="1510" spans="2:31" ht="12">
      <c r="B1510" s="55"/>
      <c r="AB1510" s="304"/>
      <c r="AC1510" s="304"/>
      <c r="AD1510" s="304"/>
      <c r="AE1510" s="304"/>
    </row>
    <row r="1511" spans="2:31" ht="12">
      <c r="B1511" s="55"/>
      <c r="AB1511" s="304"/>
      <c r="AC1511" s="304"/>
      <c r="AD1511" s="304"/>
      <c r="AE1511" s="304"/>
    </row>
    <row r="1512" spans="2:31" ht="12">
      <c r="B1512" s="55"/>
      <c r="AB1512" s="304"/>
      <c r="AC1512" s="304"/>
      <c r="AD1512" s="304"/>
      <c r="AE1512" s="304"/>
    </row>
    <row r="1513" spans="2:31" ht="12">
      <c r="B1513" s="55"/>
      <c r="AB1513" s="304"/>
      <c r="AC1513" s="304"/>
      <c r="AD1513" s="304"/>
      <c r="AE1513" s="304"/>
    </row>
    <row r="1514" spans="2:31" ht="12">
      <c r="B1514" s="55"/>
      <c r="AB1514" s="304"/>
      <c r="AC1514" s="304"/>
      <c r="AD1514" s="304"/>
      <c r="AE1514" s="304"/>
    </row>
    <row r="1515" spans="2:31" ht="12">
      <c r="B1515" s="55"/>
      <c r="AB1515" s="304"/>
      <c r="AC1515" s="304"/>
      <c r="AD1515" s="304"/>
      <c r="AE1515" s="304"/>
    </row>
    <row r="1516" spans="2:31" ht="12">
      <c r="B1516" s="55"/>
      <c r="AB1516" s="304"/>
      <c r="AC1516" s="304"/>
      <c r="AD1516" s="304"/>
      <c r="AE1516" s="304"/>
    </row>
    <row r="1517" spans="2:31" ht="12">
      <c r="B1517" s="55"/>
      <c r="AB1517" s="304"/>
      <c r="AC1517" s="304"/>
      <c r="AD1517" s="304"/>
      <c r="AE1517" s="304"/>
    </row>
    <row r="1518" spans="2:31" ht="12">
      <c r="B1518" s="55"/>
      <c r="AB1518" s="304"/>
      <c r="AC1518" s="304"/>
      <c r="AD1518" s="304"/>
      <c r="AE1518" s="304"/>
    </row>
    <row r="1519" spans="2:31" ht="12">
      <c r="B1519" s="55"/>
      <c r="AB1519" s="304"/>
      <c r="AC1519" s="304"/>
      <c r="AD1519" s="304"/>
      <c r="AE1519" s="304"/>
    </row>
    <row r="1520" spans="2:31" ht="12">
      <c r="B1520" s="55"/>
      <c r="AB1520" s="304"/>
      <c r="AC1520" s="304"/>
      <c r="AD1520" s="304"/>
      <c r="AE1520" s="304"/>
    </row>
    <row r="1521" spans="2:31" ht="12">
      <c r="B1521" s="55"/>
      <c r="AB1521" s="304"/>
      <c r="AC1521" s="304"/>
      <c r="AD1521" s="304"/>
      <c r="AE1521" s="304"/>
    </row>
    <row r="1522" spans="2:31" ht="12">
      <c r="B1522" s="55"/>
      <c r="AB1522" s="304"/>
      <c r="AC1522" s="304"/>
      <c r="AD1522" s="304"/>
      <c r="AE1522" s="304"/>
    </row>
    <row r="1523" spans="2:31" ht="12">
      <c r="B1523" s="55"/>
      <c r="AB1523" s="304"/>
      <c r="AC1523" s="304"/>
      <c r="AD1523" s="304"/>
      <c r="AE1523" s="304"/>
    </row>
    <row r="1524" spans="2:31" ht="12">
      <c r="B1524" s="55"/>
      <c r="AB1524" s="304"/>
      <c r="AC1524" s="304"/>
      <c r="AD1524" s="304"/>
      <c r="AE1524" s="304"/>
    </row>
    <row r="1525" spans="2:31" ht="12">
      <c r="B1525" s="55"/>
      <c r="AB1525" s="304"/>
      <c r="AC1525" s="304"/>
      <c r="AD1525" s="304"/>
      <c r="AE1525" s="304"/>
    </row>
    <row r="1526" spans="2:31" ht="12">
      <c r="B1526" s="55"/>
      <c r="AB1526" s="304"/>
      <c r="AC1526" s="304"/>
      <c r="AD1526" s="304"/>
      <c r="AE1526" s="304"/>
    </row>
    <row r="1527" spans="2:31" ht="12">
      <c r="B1527" s="55"/>
      <c r="AB1527" s="304"/>
      <c r="AC1527" s="304"/>
      <c r="AD1527" s="304"/>
      <c r="AE1527" s="304"/>
    </row>
    <row r="1528" spans="2:31" ht="12">
      <c r="B1528" s="55"/>
      <c r="AB1528" s="304"/>
      <c r="AC1528" s="304"/>
      <c r="AD1528" s="304"/>
      <c r="AE1528" s="304"/>
    </row>
    <row r="1529" spans="2:31" ht="12">
      <c r="B1529" s="55"/>
      <c r="AB1529" s="304"/>
      <c r="AC1529" s="304"/>
      <c r="AD1529" s="304"/>
      <c r="AE1529" s="304"/>
    </row>
    <row r="1530" spans="2:31" ht="12">
      <c r="B1530" s="55"/>
      <c r="AB1530" s="304"/>
      <c r="AC1530" s="304"/>
      <c r="AD1530" s="304"/>
      <c r="AE1530" s="304"/>
    </row>
    <row r="1531" spans="2:31" ht="12">
      <c r="B1531" s="55"/>
      <c r="AB1531" s="304"/>
      <c r="AC1531" s="304"/>
      <c r="AD1531" s="304"/>
      <c r="AE1531" s="304"/>
    </row>
    <row r="1532" spans="2:31" ht="12">
      <c r="B1532" s="55"/>
      <c r="AB1532" s="304"/>
      <c r="AC1532" s="304"/>
      <c r="AD1532" s="304"/>
      <c r="AE1532" s="304"/>
    </row>
    <row r="1533" spans="2:31" ht="12">
      <c r="B1533" s="55"/>
      <c r="AB1533" s="304"/>
      <c r="AC1533" s="304"/>
      <c r="AD1533" s="304"/>
      <c r="AE1533" s="304"/>
    </row>
    <row r="1534" spans="2:31" ht="12">
      <c r="B1534" s="55"/>
      <c r="AB1534" s="304"/>
      <c r="AC1534" s="304"/>
      <c r="AD1534" s="304"/>
      <c r="AE1534" s="304"/>
    </row>
    <row r="1535" spans="2:31" ht="12">
      <c r="B1535" s="55"/>
      <c r="AB1535" s="304"/>
      <c r="AC1535" s="304"/>
      <c r="AD1535" s="304"/>
      <c r="AE1535" s="304"/>
    </row>
    <row r="1536" spans="2:31" ht="12">
      <c r="B1536" s="55"/>
      <c r="AB1536" s="304"/>
      <c r="AC1536" s="304"/>
      <c r="AD1536" s="304"/>
      <c r="AE1536" s="304"/>
    </row>
    <row r="1537" spans="2:31" ht="12">
      <c r="B1537" s="55"/>
      <c r="AB1537" s="304"/>
      <c r="AC1537" s="304"/>
      <c r="AD1537" s="304"/>
      <c r="AE1537" s="304"/>
    </row>
    <row r="1538" spans="2:31" ht="12">
      <c r="B1538" s="55"/>
      <c r="AB1538" s="304"/>
      <c r="AC1538" s="304"/>
      <c r="AD1538" s="304"/>
      <c r="AE1538" s="304"/>
    </row>
    <row r="1539" spans="2:31" ht="12">
      <c r="B1539" s="55"/>
      <c r="AB1539" s="304"/>
      <c r="AC1539" s="304"/>
      <c r="AD1539" s="304"/>
      <c r="AE1539" s="304"/>
    </row>
    <row r="1540" spans="2:31" ht="12">
      <c r="B1540" s="55"/>
      <c r="AB1540" s="304"/>
      <c r="AC1540" s="304"/>
      <c r="AD1540" s="304"/>
      <c r="AE1540" s="304"/>
    </row>
    <row r="1541" spans="2:31" ht="12">
      <c r="B1541" s="55"/>
      <c r="AB1541" s="304"/>
      <c r="AC1541" s="304"/>
      <c r="AD1541" s="304"/>
      <c r="AE1541" s="304"/>
    </row>
    <row r="1542" spans="2:31" ht="12">
      <c r="B1542" s="55"/>
      <c r="AB1542" s="304"/>
      <c r="AC1542" s="304"/>
      <c r="AD1542" s="304"/>
      <c r="AE1542" s="304"/>
    </row>
    <row r="1543" spans="2:31" ht="12">
      <c r="B1543" s="55"/>
      <c r="AB1543" s="304"/>
      <c r="AC1543" s="304"/>
      <c r="AD1543" s="304"/>
      <c r="AE1543" s="304"/>
    </row>
    <row r="1544" spans="2:31" ht="12">
      <c r="B1544" s="55"/>
      <c r="AB1544" s="304"/>
      <c r="AC1544" s="304"/>
      <c r="AD1544" s="304"/>
      <c r="AE1544" s="304"/>
    </row>
    <row r="1545" spans="2:31" ht="12">
      <c r="B1545" s="55"/>
      <c r="AB1545" s="304"/>
      <c r="AC1545" s="304"/>
      <c r="AD1545" s="304"/>
      <c r="AE1545" s="304"/>
    </row>
    <row r="1546" spans="2:31" ht="12">
      <c r="B1546" s="55"/>
      <c r="AB1546" s="304"/>
      <c r="AC1546" s="304"/>
      <c r="AD1546" s="304"/>
      <c r="AE1546" s="304"/>
    </row>
    <row r="1547" spans="2:31" ht="12">
      <c r="B1547" s="55"/>
      <c r="AB1547" s="304"/>
      <c r="AC1547" s="304"/>
      <c r="AD1547" s="304"/>
      <c r="AE1547" s="304"/>
    </row>
    <row r="1548" spans="2:31" ht="12">
      <c r="B1548" s="55"/>
      <c r="AB1548" s="304"/>
      <c r="AC1548" s="304"/>
      <c r="AD1548" s="304"/>
      <c r="AE1548" s="304"/>
    </row>
    <row r="1549" spans="2:31" ht="12">
      <c r="B1549" s="55"/>
      <c r="AB1549" s="304"/>
      <c r="AC1549" s="304"/>
      <c r="AD1549" s="304"/>
      <c r="AE1549" s="304"/>
    </row>
    <row r="1550" spans="2:31" ht="12">
      <c r="B1550" s="55"/>
      <c r="AB1550" s="304"/>
      <c r="AC1550" s="304"/>
      <c r="AD1550" s="304"/>
      <c r="AE1550" s="304"/>
    </row>
    <row r="1551" spans="2:31" ht="12">
      <c r="B1551" s="55"/>
      <c r="AB1551" s="304"/>
      <c r="AC1551" s="304"/>
      <c r="AD1551" s="304"/>
      <c r="AE1551" s="304"/>
    </row>
    <row r="1552" spans="2:31" ht="12">
      <c r="B1552" s="55"/>
      <c r="AB1552" s="304"/>
      <c r="AC1552" s="304"/>
      <c r="AD1552" s="304"/>
      <c r="AE1552" s="304"/>
    </row>
    <row r="1553" spans="2:31" ht="12">
      <c r="B1553" s="55"/>
      <c r="AB1553" s="304"/>
      <c r="AC1553" s="304"/>
      <c r="AD1553" s="304"/>
      <c r="AE1553" s="304"/>
    </row>
    <row r="1554" spans="2:31" ht="12">
      <c r="B1554" s="55"/>
      <c r="AB1554" s="304"/>
      <c r="AC1554" s="304"/>
      <c r="AD1554" s="304"/>
      <c r="AE1554" s="304"/>
    </row>
    <row r="1555" spans="2:31" ht="12">
      <c r="B1555" s="55"/>
      <c r="AB1555" s="304"/>
      <c r="AC1555" s="304"/>
      <c r="AD1555" s="304"/>
      <c r="AE1555" s="304"/>
    </row>
    <row r="1556" spans="2:31" ht="12">
      <c r="B1556" s="55"/>
      <c r="AB1556" s="304"/>
      <c r="AC1556" s="304"/>
      <c r="AD1556" s="304"/>
      <c r="AE1556" s="304"/>
    </row>
    <row r="1557" spans="2:31" ht="12">
      <c r="B1557" s="55"/>
      <c r="AB1557" s="304"/>
      <c r="AC1557" s="304"/>
      <c r="AD1557" s="304"/>
      <c r="AE1557" s="304"/>
    </row>
    <row r="1558" spans="2:31" ht="12">
      <c r="B1558" s="55"/>
      <c r="AB1558" s="304"/>
      <c r="AC1558" s="304"/>
      <c r="AD1558" s="304"/>
      <c r="AE1558" s="304"/>
    </row>
    <row r="1559" spans="2:31" ht="12">
      <c r="B1559" s="55"/>
      <c r="AB1559" s="304"/>
      <c r="AC1559" s="304"/>
      <c r="AD1559" s="304"/>
      <c r="AE1559" s="304"/>
    </row>
    <row r="1560" spans="2:31" ht="12">
      <c r="B1560" s="55"/>
      <c r="AB1560" s="304"/>
      <c r="AC1560" s="304"/>
      <c r="AD1560" s="304"/>
      <c r="AE1560" s="304"/>
    </row>
    <row r="1561" spans="2:31" ht="12">
      <c r="B1561" s="55"/>
      <c r="AB1561" s="304"/>
      <c r="AC1561" s="304"/>
      <c r="AD1561" s="304"/>
      <c r="AE1561" s="304"/>
    </row>
    <row r="1562" spans="2:31" ht="12">
      <c r="B1562" s="55"/>
      <c r="AB1562" s="304"/>
      <c r="AC1562" s="304"/>
      <c r="AD1562" s="304"/>
      <c r="AE1562" s="304"/>
    </row>
    <row r="1563" spans="2:31" ht="12">
      <c r="B1563" s="55"/>
      <c r="AB1563" s="304"/>
      <c r="AC1563" s="304"/>
      <c r="AD1563" s="304"/>
      <c r="AE1563" s="304"/>
    </row>
    <row r="1564" spans="2:31" ht="12">
      <c r="B1564" s="55"/>
      <c r="AB1564" s="304"/>
      <c r="AC1564" s="304"/>
      <c r="AD1564" s="304"/>
      <c r="AE1564" s="304"/>
    </row>
    <row r="1565" spans="2:31" ht="12">
      <c r="B1565" s="55"/>
      <c r="AB1565" s="304"/>
      <c r="AC1565" s="304"/>
      <c r="AD1565" s="304"/>
      <c r="AE1565" s="304"/>
    </row>
    <row r="1566" spans="2:31" ht="12">
      <c r="B1566" s="55"/>
      <c r="AB1566" s="304"/>
      <c r="AC1566" s="304"/>
      <c r="AD1566" s="304"/>
      <c r="AE1566" s="304"/>
    </row>
    <row r="1567" spans="2:31" ht="12">
      <c r="B1567" s="55"/>
      <c r="AB1567" s="304"/>
      <c r="AC1567" s="304"/>
      <c r="AD1567" s="304"/>
      <c r="AE1567" s="304"/>
    </row>
    <row r="1568" spans="2:31" ht="12">
      <c r="B1568" s="55"/>
      <c r="AB1568" s="304"/>
      <c r="AC1568" s="304"/>
      <c r="AD1568" s="304"/>
      <c r="AE1568" s="304"/>
    </row>
    <row r="1569" spans="2:31" ht="12">
      <c r="B1569" s="55"/>
      <c r="AB1569" s="304"/>
      <c r="AC1569" s="304"/>
      <c r="AD1569" s="304"/>
      <c r="AE1569" s="304"/>
    </row>
    <row r="1570" spans="2:31" ht="12">
      <c r="B1570" s="55"/>
      <c r="AB1570" s="304"/>
      <c r="AC1570" s="304"/>
      <c r="AD1570" s="304"/>
      <c r="AE1570" s="304"/>
    </row>
    <row r="1571" spans="2:31" ht="12">
      <c r="B1571" s="55"/>
      <c r="AB1571" s="304"/>
      <c r="AC1571" s="304"/>
      <c r="AD1571" s="304"/>
      <c r="AE1571" s="304"/>
    </row>
    <row r="1572" spans="2:31" ht="12">
      <c r="B1572" s="55"/>
      <c r="AB1572" s="304"/>
      <c r="AC1572" s="304"/>
      <c r="AD1572" s="304"/>
      <c r="AE1572" s="304"/>
    </row>
    <row r="1573" spans="2:31" ht="12">
      <c r="B1573" s="55"/>
      <c r="AB1573" s="304"/>
      <c r="AC1573" s="304"/>
      <c r="AD1573" s="304"/>
      <c r="AE1573" s="304"/>
    </row>
    <row r="1574" spans="2:31" ht="12">
      <c r="B1574" s="55"/>
      <c r="AB1574" s="304"/>
      <c r="AC1574" s="304"/>
      <c r="AD1574" s="304"/>
      <c r="AE1574" s="304"/>
    </row>
    <row r="1575" spans="2:31" ht="12">
      <c r="B1575" s="55"/>
      <c r="AB1575" s="304"/>
      <c r="AC1575" s="304"/>
      <c r="AD1575" s="304"/>
      <c r="AE1575" s="304"/>
    </row>
    <row r="1576" spans="2:31" ht="12">
      <c r="B1576" s="55"/>
      <c r="AB1576" s="304"/>
      <c r="AC1576" s="304"/>
      <c r="AD1576" s="304"/>
      <c r="AE1576" s="304"/>
    </row>
    <row r="1577" spans="2:31" ht="12">
      <c r="B1577" s="55"/>
      <c r="AB1577" s="304"/>
      <c r="AC1577" s="304"/>
      <c r="AD1577" s="304"/>
      <c r="AE1577" s="304"/>
    </row>
    <row r="1578" spans="2:31" ht="12">
      <c r="B1578" s="55"/>
      <c r="AB1578" s="304"/>
      <c r="AC1578" s="304"/>
      <c r="AD1578" s="304"/>
      <c r="AE1578" s="304"/>
    </row>
    <row r="1579" spans="2:31" ht="12">
      <c r="B1579" s="55"/>
      <c r="AB1579" s="304"/>
      <c r="AC1579" s="304"/>
      <c r="AD1579" s="304"/>
      <c r="AE1579" s="304"/>
    </row>
    <row r="1580" spans="2:31" ht="12">
      <c r="B1580" s="55"/>
      <c r="AB1580" s="304"/>
      <c r="AC1580" s="304"/>
      <c r="AD1580" s="304"/>
      <c r="AE1580" s="304"/>
    </row>
    <row r="1581" spans="2:31" ht="12">
      <c r="B1581" s="55"/>
      <c r="AB1581" s="304"/>
      <c r="AC1581" s="304"/>
      <c r="AD1581" s="304"/>
      <c r="AE1581" s="304"/>
    </row>
    <row r="1582" spans="2:31" ht="12">
      <c r="B1582" s="55"/>
      <c r="AB1582" s="304"/>
      <c r="AC1582" s="304"/>
      <c r="AD1582" s="304"/>
      <c r="AE1582" s="304"/>
    </row>
    <row r="1583" spans="2:31" ht="12">
      <c r="B1583" s="55"/>
      <c r="AB1583" s="304"/>
      <c r="AC1583" s="304"/>
      <c r="AD1583" s="304"/>
      <c r="AE1583" s="304"/>
    </row>
    <row r="1584" spans="2:31" ht="12">
      <c r="B1584" s="55"/>
      <c r="AB1584" s="304"/>
      <c r="AC1584" s="304"/>
      <c r="AD1584" s="304"/>
      <c r="AE1584" s="304"/>
    </row>
    <row r="1585" spans="2:31" ht="12">
      <c r="B1585" s="55"/>
      <c r="AB1585" s="304"/>
      <c r="AC1585" s="304"/>
      <c r="AD1585" s="304"/>
      <c r="AE1585" s="304"/>
    </row>
    <row r="1586" spans="2:31" ht="12">
      <c r="B1586" s="55"/>
      <c r="AB1586" s="304"/>
      <c r="AC1586" s="304"/>
      <c r="AD1586" s="304"/>
      <c r="AE1586" s="304"/>
    </row>
    <row r="1587" spans="2:31" ht="12">
      <c r="B1587" s="55"/>
      <c r="AB1587" s="304"/>
      <c r="AC1587" s="304"/>
      <c r="AD1587" s="304"/>
      <c r="AE1587" s="304"/>
    </row>
    <row r="1588" spans="2:31" ht="12">
      <c r="B1588" s="55"/>
      <c r="AB1588" s="304"/>
      <c r="AC1588" s="304"/>
      <c r="AD1588" s="304"/>
      <c r="AE1588" s="304"/>
    </row>
    <row r="1589" spans="2:31" ht="12">
      <c r="B1589" s="55"/>
      <c r="AB1589" s="304"/>
      <c r="AC1589" s="304"/>
      <c r="AD1589" s="304"/>
      <c r="AE1589" s="304"/>
    </row>
    <row r="1590" spans="2:31" ht="12">
      <c r="B1590" s="55"/>
      <c r="AB1590" s="304"/>
      <c r="AC1590" s="304"/>
      <c r="AD1590" s="304"/>
      <c r="AE1590" s="304"/>
    </row>
    <row r="1591" spans="2:31" ht="12">
      <c r="B1591" s="55"/>
      <c r="AB1591" s="304"/>
      <c r="AC1591" s="304"/>
      <c r="AD1591" s="304"/>
      <c r="AE1591" s="304"/>
    </row>
    <row r="1592" spans="2:31" ht="12">
      <c r="B1592" s="55"/>
      <c r="AB1592" s="304"/>
      <c r="AC1592" s="304"/>
      <c r="AD1592" s="304"/>
      <c r="AE1592" s="304"/>
    </row>
    <row r="1593" spans="2:31" ht="12">
      <c r="B1593" s="55"/>
      <c r="AB1593" s="304"/>
      <c r="AC1593" s="304"/>
      <c r="AD1593" s="304"/>
      <c r="AE1593" s="304"/>
    </row>
    <row r="1594" spans="2:31" ht="12">
      <c r="B1594" s="55"/>
      <c r="AB1594" s="304"/>
      <c r="AC1594" s="304"/>
      <c r="AD1594" s="304"/>
      <c r="AE1594" s="304"/>
    </row>
    <row r="1595" spans="2:31" ht="12">
      <c r="B1595" s="55"/>
      <c r="AB1595" s="304"/>
      <c r="AC1595" s="304"/>
      <c r="AD1595" s="304"/>
      <c r="AE1595" s="304"/>
    </row>
    <row r="1596" spans="2:31" ht="12">
      <c r="B1596" s="55"/>
      <c r="AB1596" s="304"/>
      <c r="AC1596" s="304"/>
      <c r="AD1596" s="304"/>
      <c r="AE1596" s="304"/>
    </row>
    <row r="1597" spans="2:31" ht="12">
      <c r="B1597" s="55"/>
      <c r="AB1597" s="304"/>
      <c r="AC1597" s="304"/>
      <c r="AD1597" s="304"/>
      <c r="AE1597" s="304"/>
    </row>
    <row r="1598" spans="2:31" ht="12">
      <c r="B1598" s="55"/>
      <c r="AB1598" s="304"/>
      <c r="AC1598" s="304"/>
      <c r="AD1598" s="304"/>
      <c r="AE1598" s="304"/>
    </row>
    <row r="1599" spans="2:31" ht="12">
      <c r="B1599" s="55"/>
      <c r="AB1599" s="304"/>
      <c r="AC1599" s="304"/>
      <c r="AD1599" s="304"/>
      <c r="AE1599" s="304"/>
    </row>
    <row r="1600" spans="2:31" ht="12">
      <c r="B1600" s="55"/>
      <c r="AB1600" s="304"/>
      <c r="AC1600" s="304"/>
      <c r="AD1600" s="304"/>
      <c r="AE1600" s="304"/>
    </row>
    <row r="1601" spans="2:31" ht="12">
      <c r="B1601" s="55"/>
      <c r="AB1601" s="304"/>
      <c r="AC1601" s="304"/>
      <c r="AD1601" s="304"/>
      <c r="AE1601" s="304"/>
    </row>
    <row r="1602" spans="2:31" ht="12">
      <c r="B1602" s="55"/>
      <c r="AB1602" s="304"/>
      <c r="AC1602" s="304"/>
      <c r="AD1602" s="304"/>
      <c r="AE1602" s="304"/>
    </row>
    <row r="1603" spans="2:31" ht="12">
      <c r="B1603" s="55"/>
      <c r="AB1603" s="304"/>
      <c r="AC1603" s="304"/>
      <c r="AD1603" s="304"/>
      <c r="AE1603" s="304"/>
    </row>
    <row r="1604" spans="2:31" ht="12">
      <c r="B1604" s="55"/>
      <c r="AB1604" s="304"/>
      <c r="AC1604" s="304"/>
      <c r="AD1604" s="304"/>
      <c r="AE1604" s="304"/>
    </row>
    <row r="1605" spans="2:31" ht="12">
      <c r="B1605" s="55"/>
      <c r="AB1605" s="304"/>
      <c r="AC1605" s="304"/>
      <c r="AD1605" s="304"/>
      <c r="AE1605" s="304"/>
    </row>
    <row r="1606" spans="2:31" ht="12">
      <c r="B1606" s="55"/>
      <c r="AB1606" s="304"/>
      <c r="AC1606" s="304"/>
      <c r="AD1606" s="304"/>
      <c r="AE1606" s="304"/>
    </row>
    <row r="1607" spans="2:31" ht="12">
      <c r="B1607" s="55"/>
      <c r="AB1607" s="304"/>
      <c r="AC1607" s="304"/>
      <c r="AD1607" s="304"/>
      <c r="AE1607" s="304"/>
    </row>
    <row r="1608" spans="2:31" ht="12">
      <c r="B1608" s="55"/>
      <c r="AB1608" s="304"/>
      <c r="AC1608" s="304"/>
      <c r="AD1608" s="304"/>
      <c r="AE1608" s="304"/>
    </row>
    <row r="1609" spans="2:31" ht="12">
      <c r="B1609" s="55"/>
      <c r="AB1609" s="304"/>
      <c r="AC1609" s="304"/>
      <c r="AD1609" s="304"/>
      <c r="AE1609" s="304"/>
    </row>
    <row r="1610" spans="2:31" ht="12">
      <c r="B1610" s="55"/>
      <c r="AB1610" s="304"/>
      <c r="AC1610" s="304"/>
      <c r="AD1610" s="304"/>
      <c r="AE1610" s="304"/>
    </row>
    <row r="1611" spans="2:31" ht="12">
      <c r="B1611" s="55"/>
      <c r="AB1611" s="304"/>
      <c r="AC1611" s="304"/>
      <c r="AD1611" s="304"/>
      <c r="AE1611" s="304"/>
    </row>
    <row r="1612" spans="2:31" ht="12">
      <c r="B1612" s="55"/>
      <c r="AB1612" s="304"/>
      <c r="AC1612" s="304"/>
      <c r="AD1612" s="304"/>
      <c r="AE1612" s="304"/>
    </row>
    <row r="1613" spans="2:31" ht="12">
      <c r="B1613" s="55"/>
      <c r="AB1613" s="304"/>
      <c r="AC1613" s="304"/>
      <c r="AD1613" s="304"/>
      <c r="AE1613" s="304"/>
    </row>
    <row r="1614" spans="2:31" ht="12">
      <c r="B1614" s="55"/>
      <c r="AB1614" s="304"/>
      <c r="AC1614" s="304"/>
      <c r="AD1614" s="304"/>
      <c r="AE1614" s="304"/>
    </row>
    <row r="1615" spans="2:31" ht="12">
      <c r="B1615" s="55"/>
      <c r="AB1615" s="304"/>
      <c r="AC1615" s="304"/>
      <c r="AD1615" s="304"/>
      <c r="AE1615" s="304"/>
    </row>
    <row r="1616" spans="2:31" ht="12">
      <c r="B1616" s="55"/>
      <c r="AB1616" s="304"/>
      <c r="AC1616" s="304"/>
      <c r="AD1616" s="304"/>
      <c r="AE1616" s="304"/>
    </row>
    <row r="1617" spans="2:31" ht="12">
      <c r="B1617" s="55"/>
      <c r="AB1617" s="304"/>
      <c r="AC1617" s="304"/>
      <c r="AD1617" s="304"/>
      <c r="AE1617" s="304"/>
    </row>
    <row r="1618" spans="2:31" ht="12">
      <c r="B1618" s="55"/>
      <c r="AB1618" s="304"/>
      <c r="AC1618" s="304"/>
      <c r="AD1618" s="304"/>
      <c r="AE1618" s="304"/>
    </row>
    <row r="1619" spans="2:31" ht="12">
      <c r="B1619" s="55"/>
      <c r="AB1619" s="304"/>
      <c r="AC1619" s="304"/>
      <c r="AD1619" s="304"/>
      <c r="AE1619" s="304"/>
    </row>
    <row r="1620" spans="2:31" ht="12">
      <c r="B1620" s="55"/>
      <c r="AB1620" s="304"/>
      <c r="AC1620" s="304"/>
      <c r="AD1620" s="304"/>
      <c r="AE1620" s="304"/>
    </row>
    <row r="1621" spans="2:31" ht="12">
      <c r="B1621" s="55"/>
      <c r="AB1621" s="304"/>
      <c r="AC1621" s="304"/>
      <c r="AD1621" s="304"/>
      <c r="AE1621" s="304"/>
    </row>
    <row r="1622" spans="2:31" ht="12">
      <c r="B1622" s="55"/>
      <c r="AB1622" s="304"/>
      <c r="AC1622" s="304"/>
      <c r="AD1622" s="304"/>
      <c r="AE1622" s="304"/>
    </row>
    <row r="1623" spans="2:31" ht="12">
      <c r="B1623" s="55"/>
      <c r="AB1623" s="304"/>
      <c r="AC1623" s="304"/>
      <c r="AD1623" s="304"/>
      <c r="AE1623" s="304"/>
    </row>
    <row r="1624" spans="2:31" ht="12">
      <c r="B1624" s="55"/>
      <c r="AB1624" s="304"/>
      <c r="AC1624" s="304"/>
      <c r="AD1624" s="304"/>
      <c r="AE1624" s="304"/>
    </row>
    <row r="1625" spans="2:31" ht="12">
      <c r="B1625" s="55"/>
      <c r="AB1625" s="304"/>
      <c r="AC1625" s="304"/>
      <c r="AD1625" s="304"/>
      <c r="AE1625" s="304"/>
    </row>
    <row r="1626" spans="2:31" ht="12">
      <c r="B1626" s="55"/>
      <c r="AB1626" s="304"/>
      <c r="AC1626" s="304"/>
      <c r="AD1626" s="304"/>
      <c r="AE1626" s="304"/>
    </row>
    <row r="1627" spans="2:31" ht="12">
      <c r="B1627" s="55"/>
      <c r="AB1627" s="304"/>
      <c r="AC1627" s="304"/>
      <c r="AD1627" s="304"/>
      <c r="AE1627" s="304"/>
    </row>
    <row r="1628" spans="2:31" ht="12">
      <c r="B1628" s="55"/>
      <c r="AB1628" s="304"/>
      <c r="AC1628" s="304"/>
      <c r="AD1628" s="304"/>
      <c r="AE1628" s="304"/>
    </row>
    <row r="1629" spans="2:31" ht="12">
      <c r="B1629" s="55"/>
      <c r="AB1629" s="304"/>
      <c r="AC1629" s="304"/>
      <c r="AD1629" s="304"/>
      <c r="AE1629" s="304"/>
    </row>
    <row r="1630" spans="2:31" ht="12">
      <c r="B1630" s="55"/>
      <c r="AB1630" s="304"/>
      <c r="AC1630" s="304"/>
      <c r="AD1630" s="304"/>
      <c r="AE1630" s="304"/>
    </row>
    <row r="1631" spans="2:31" ht="12">
      <c r="B1631" s="55"/>
      <c r="AB1631" s="304"/>
      <c r="AC1631" s="304"/>
      <c r="AD1631" s="304"/>
      <c r="AE1631" s="304"/>
    </row>
    <row r="1632" spans="2:31" ht="12">
      <c r="B1632" s="55"/>
      <c r="AB1632" s="304"/>
      <c r="AC1632" s="304"/>
      <c r="AD1632" s="304"/>
      <c r="AE1632" s="304"/>
    </row>
    <row r="1633" spans="2:31" ht="12">
      <c r="B1633" s="55"/>
      <c r="AB1633" s="304"/>
      <c r="AC1633" s="304"/>
      <c r="AD1633" s="304"/>
      <c r="AE1633" s="304"/>
    </row>
    <row r="1634" spans="2:31" ht="12">
      <c r="B1634" s="55"/>
      <c r="AB1634" s="304"/>
      <c r="AC1634" s="304"/>
      <c r="AD1634" s="304"/>
      <c r="AE1634" s="304"/>
    </row>
    <row r="1635" spans="2:31" ht="12">
      <c r="B1635" s="55"/>
      <c r="AB1635" s="304"/>
      <c r="AC1635" s="304"/>
      <c r="AD1635" s="304"/>
      <c r="AE1635" s="304"/>
    </row>
    <row r="1636" spans="2:31" ht="12">
      <c r="B1636" s="55"/>
      <c r="AB1636" s="304"/>
      <c r="AC1636" s="304"/>
      <c r="AD1636" s="304"/>
      <c r="AE1636" s="304"/>
    </row>
    <row r="1637" spans="2:31" ht="12">
      <c r="B1637" s="55"/>
      <c r="AB1637" s="304"/>
      <c r="AC1637" s="304"/>
      <c r="AD1637" s="304"/>
      <c r="AE1637" s="304"/>
    </row>
    <row r="1638" spans="2:31" ht="12">
      <c r="B1638" s="55"/>
      <c r="AB1638" s="304"/>
      <c r="AC1638" s="304"/>
      <c r="AD1638" s="304"/>
      <c r="AE1638" s="304"/>
    </row>
    <row r="1639" spans="2:31" ht="12">
      <c r="B1639" s="55"/>
      <c r="AB1639" s="304"/>
      <c r="AC1639" s="304"/>
      <c r="AD1639" s="304"/>
      <c r="AE1639" s="304"/>
    </row>
    <row r="1640" spans="2:31" ht="12">
      <c r="B1640" s="55"/>
      <c r="AB1640" s="304"/>
      <c r="AC1640" s="304"/>
      <c r="AD1640" s="304"/>
      <c r="AE1640" s="304"/>
    </row>
    <row r="1641" spans="2:31" ht="12">
      <c r="B1641" s="55"/>
      <c r="AB1641" s="304"/>
      <c r="AC1641" s="304"/>
      <c r="AD1641" s="304"/>
      <c r="AE1641" s="304"/>
    </row>
    <row r="1642" spans="2:31" ht="12">
      <c r="B1642" s="55"/>
      <c r="AB1642" s="304"/>
      <c r="AC1642" s="304"/>
      <c r="AD1642" s="304"/>
      <c r="AE1642" s="304"/>
    </row>
    <row r="1643" spans="2:31" ht="12">
      <c r="B1643" s="55"/>
      <c r="AB1643" s="304"/>
      <c r="AC1643" s="304"/>
      <c r="AD1643" s="304"/>
      <c r="AE1643" s="304"/>
    </row>
    <row r="1644" spans="2:31" ht="12">
      <c r="B1644" s="55"/>
      <c r="AB1644" s="304"/>
      <c r="AC1644" s="304"/>
      <c r="AD1644" s="304"/>
      <c r="AE1644" s="304"/>
    </row>
    <row r="1645" spans="2:31" ht="12">
      <c r="B1645" s="55"/>
      <c r="AB1645" s="304"/>
      <c r="AC1645" s="304"/>
      <c r="AD1645" s="304"/>
      <c r="AE1645" s="304"/>
    </row>
    <row r="1646" spans="2:31" ht="12">
      <c r="B1646" s="55"/>
      <c r="AB1646" s="304"/>
      <c r="AC1646" s="304"/>
      <c r="AD1646" s="304"/>
      <c r="AE1646" s="304"/>
    </row>
    <row r="1647" spans="2:31" ht="12">
      <c r="B1647" s="55"/>
      <c r="AB1647" s="304"/>
      <c r="AC1647" s="304"/>
      <c r="AD1647" s="304"/>
      <c r="AE1647" s="304"/>
    </row>
    <row r="1648" spans="2:31" ht="12">
      <c r="B1648" s="55"/>
      <c r="AB1648" s="304"/>
      <c r="AC1648" s="304"/>
      <c r="AD1648" s="304"/>
      <c r="AE1648" s="304"/>
    </row>
    <row r="1649" spans="2:31" ht="12">
      <c r="B1649" s="55"/>
      <c r="AB1649" s="304"/>
      <c r="AC1649" s="304"/>
      <c r="AD1649" s="304"/>
      <c r="AE1649" s="304"/>
    </row>
    <row r="1650" spans="2:31" ht="12">
      <c r="B1650" s="55"/>
      <c r="AB1650" s="304"/>
      <c r="AC1650" s="304"/>
      <c r="AD1650" s="304"/>
      <c r="AE1650" s="304"/>
    </row>
    <row r="1651" spans="2:31" ht="12">
      <c r="B1651" s="55"/>
      <c r="AB1651" s="304"/>
      <c r="AC1651" s="304"/>
      <c r="AD1651" s="304"/>
      <c r="AE1651" s="304"/>
    </row>
    <row r="1652" spans="2:31" ht="12">
      <c r="B1652" s="55"/>
      <c r="AB1652" s="304"/>
      <c r="AC1652" s="304"/>
      <c r="AD1652" s="304"/>
      <c r="AE1652" s="304"/>
    </row>
    <row r="1653" spans="2:31" ht="12">
      <c r="B1653" s="55"/>
      <c r="AB1653" s="304"/>
      <c r="AC1653" s="304"/>
      <c r="AD1653" s="304"/>
      <c r="AE1653" s="304"/>
    </row>
    <row r="1654" spans="2:31" ht="12">
      <c r="B1654" s="55"/>
      <c r="AB1654" s="304"/>
      <c r="AC1654" s="304"/>
      <c r="AD1654" s="304"/>
      <c r="AE1654" s="304"/>
    </row>
    <row r="1655" spans="2:31" ht="12">
      <c r="B1655" s="55"/>
      <c r="AB1655" s="304"/>
      <c r="AC1655" s="304"/>
      <c r="AD1655" s="304"/>
      <c r="AE1655" s="304"/>
    </row>
    <row r="1656" spans="2:31" ht="12">
      <c r="B1656" s="55"/>
      <c r="AB1656" s="304"/>
      <c r="AC1656" s="304"/>
      <c r="AD1656" s="304"/>
      <c r="AE1656" s="304"/>
    </row>
    <row r="1657" spans="2:31" ht="12">
      <c r="B1657" s="55"/>
      <c r="AB1657" s="304"/>
      <c r="AC1657" s="304"/>
      <c r="AD1657" s="304"/>
      <c r="AE1657" s="304"/>
    </row>
    <row r="1658" spans="2:31" ht="12">
      <c r="B1658" s="55"/>
      <c r="AB1658" s="304"/>
      <c r="AC1658" s="304"/>
      <c r="AD1658" s="304"/>
      <c r="AE1658" s="304"/>
    </row>
    <row r="1659" spans="2:31" ht="12">
      <c r="B1659" s="55"/>
      <c r="AB1659" s="304"/>
      <c r="AC1659" s="304"/>
      <c r="AD1659" s="304"/>
      <c r="AE1659" s="304"/>
    </row>
    <row r="1660" spans="2:31" ht="12">
      <c r="B1660" s="55"/>
      <c r="AB1660" s="304"/>
      <c r="AC1660" s="304"/>
      <c r="AD1660" s="304"/>
      <c r="AE1660" s="304"/>
    </row>
    <row r="1661" spans="2:31" ht="12">
      <c r="B1661" s="55"/>
      <c r="AB1661" s="304"/>
      <c r="AC1661" s="304"/>
      <c r="AD1661" s="304"/>
      <c r="AE1661" s="304"/>
    </row>
    <row r="1662" spans="2:31" ht="12">
      <c r="B1662" s="55"/>
      <c r="AB1662" s="304"/>
      <c r="AC1662" s="304"/>
      <c r="AD1662" s="304"/>
      <c r="AE1662" s="304"/>
    </row>
    <row r="1663" spans="2:31" ht="12">
      <c r="B1663" s="55"/>
      <c r="AB1663" s="304"/>
      <c r="AC1663" s="304"/>
      <c r="AD1663" s="304"/>
      <c r="AE1663" s="304"/>
    </row>
    <row r="1664" spans="2:31" ht="12">
      <c r="B1664" s="55"/>
      <c r="AB1664" s="304"/>
      <c r="AC1664" s="304"/>
      <c r="AD1664" s="304"/>
      <c r="AE1664" s="304"/>
    </row>
    <row r="1665" spans="2:31" ht="12">
      <c r="B1665" s="55"/>
      <c r="AB1665" s="304"/>
      <c r="AC1665" s="304"/>
      <c r="AD1665" s="304"/>
      <c r="AE1665" s="304"/>
    </row>
    <row r="1666" spans="2:31" ht="12">
      <c r="B1666" s="55"/>
      <c r="AB1666" s="304"/>
      <c r="AC1666" s="304"/>
      <c r="AD1666" s="304"/>
      <c r="AE1666" s="304"/>
    </row>
    <row r="1667" spans="2:31" ht="12">
      <c r="B1667" s="55"/>
      <c r="AB1667" s="304"/>
      <c r="AC1667" s="304"/>
      <c r="AD1667" s="304"/>
      <c r="AE1667" s="304"/>
    </row>
    <row r="1668" spans="2:31" ht="12">
      <c r="B1668" s="55"/>
      <c r="AB1668" s="304"/>
      <c r="AC1668" s="304"/>
      <c r="AD1668" s="304"/>
      <c r="AE1668" s="304"/>
    </row>
    <row r="1669" spans="2:31" ht="12">
      <c r="B1669" s="55"/>
      <c r="AB1669" s="304"/>
      <c r="AC1669" s="304"/>
      <c r="AD1669" s="304"/>
      <c r="AE1669" s="304"/>
    </row>
    <row r="1670" spans="2:31" ht="12">
      <c r="B1670" s="55"/>
      <c r="AB1670" s="304"/>
      <c r="AC1670" s="304"/>
      <c r="AD1670" s="304"/>
      <c r="AE1670" s="304"/>
    </row>
    <row r="1671" spans="2:31" ht="12">
      <c r="B1671" s="55"/>
      <c r="AB1671" s="304"/>
      <c r="AC1671" s="304"/>
      <c r="AD1671" s="304"/>
      <c r="AE1671" s="304"/>
    </row>
    <row r="1672" spans="2:31" ht="12">
      <c r="B1672" s="55"/>
      <c r="AB1672" s="304"/>
      <c r="AC1672" s="304"/>
      <c r="AD1672" s="304"/>
      <c r="AE1672" s="304"/>
    </row>
    <row r="1673" spans="2:31" ht="12">
      <c r="B1673" s="55"/>
      <c r="AB1673" s="304"/>
      <c r="AC1673" s="304"/>
      <c r="AD1673" s="304"/>
      <c r="AE1673" s="304"/>
    </row>
    <row r="1674" spans="2:31" ht="12">
      <c r="B1674" s="55"/>
      <c r="AB1674" s="304"/>
      <c r="AC1674" s="304"/>
      <c r="AD1674" s="304"/>
      <c r="AE1674" s="304"/>
    </row>
    <row r="1675" spans="2:31" ht="12">
      <c r="B1675" s="55"/>
      <c r="AB1675" s="304"/>
      <c r="AC1675" s="304"/>
      <c r="AD1675" s="304"/>
      <c r="AE1675" s="304"/>
    </row>
    <row r="1676" spans="2:31" ht="12">
      <c r="B1676" s="55"/>
      <c r="AB1676" s="304"/>
      <c r="AC1676" s="304"/>
      <c r="AD1676" s="304"/>
      <c r="AE1676" s="304"/>
    </row>
    <row r="1677" spans="2:31" ht="12">
      <c r="B1677" s="55"/>
      <c r="AB1677" s="304"/>
      <c r="AC1677" s="304"/>
      <c r="AD1677" s="304"/>
      <c r="AE1677" s="304"/>
    </row>
    <row r="1678" spans="2:31" ht="12">
      <c r="B1678" s="55"/>
      <c r="AB1678" s="304"/>
      <c r="AC1678" s="304"/>
      <c r="AD1678" s="304"/>
      <c r="AE1678" s="304"/>
    </row>
    <row r="1679" spans="2:31" ht="12">
      <c r="B1679" s="55"/>
      <c r="AB1679" s="304"/>
      <c r="AC1679" s="304"/>
      <c r="AD1679" s="304"/>
      <c r="AE1679" s="304"/>
    </row>
    <row r="1680" spans="2:31" ht="12">
      <c r="B1680" s="55"/>
      <c r="AB1680" s="304"/>
      <c r="AC1680" s="304"/>
      <c r="AD1680" s="304"/>
      <c r="AE1680" s="304"/>
    </row>
    <row r="1681" spans="2:31" ht="12">
      <c r="B1681" s="55"/>
      <c r="AB1681" s="304"/>
      <c r="AC1681" s="304"/>
      <c r="AD1681" s="304"/>
      <c r="AE1681" s="304"/>
    </row>
    <row r="1682" spans="2:31" ht="12">
      <c r="B1682" s="55"/>
      <c r="AB1682" s="304"/>
      <c r="AC1682" s="304"/>
      <c r="AD1682" s="304"/>
      <c r="AE1682" s="304"/>
    </row>
    <row r="1683" spans="2:31" ht="12">
      <c r="B1683" s="55"/>
      <c r="AB1683" s="304"/>
      <c r="AC1683" s="304"/>
      <c r="AD1683" s="304"/>
      <c r="AE1683" s="304"/>
    </row>
    <row r="1684" spans="2:31" ht="12">
      <c r="B1684" s="55"/>
      <c r="AB1684" s="304"/>
      <c r="AC1684" s="304"/>
      <c r="AD1684" s="304"/>
      <c r="AE1684" s="304"/>
    </row>
    <row r="1685" spans="2:31" ht="12">
      <c r="B1685" s="55"/>
      <c r="AB1685" s="304"/>
      <c r="AC1685" s="304"/>
      <c r="AD1685" s="304"/>
      <c r="AE1685" s="304"/>
    </row>
    <row r="1686" spans="2:31" ht="12">
      <c r="B1686" s="55"/>
      <c r="AB1686" s="304"/>
      <c r="AC1686" s="304"/>
      <c r="AD1686" s="304"/>
      <c r="AE1686" s="304"/>
    </row>
    <row r="1687" spans="2:31" ht="12">
      <c r="B1687" s="55"/>
      <c r="AB1687" s="304"/>
      <c r="AC1687" s="304"/>
      <c r="AD1687" s="304"/>
      <c r="AE1687" s="304"/>
    </row>
    <row r="1688" spans="2:31" ht="12">
      <c r="B1688" s="55"/>
      <c r="AB1688" s="304"/>
      <c r="AC1688" s="304"/>
      <c r="AD1688" s="304"/>
      <c r="AE1688" s="304"/>
    </row>
    <row r="1689" spans="2:31" ht="12">
      <c r="B1689" s="55"/>
      <c r="AB1689" s="304"/>
      <c r="AC1689" s="304"/>
      <c r="AD1689" s="304"/>
      <c r="AE1689" s="304"/>
    </row>
    <row r="1690" spans="2:31" ht="12">
      <c r="B1690" s="55"/>
      <c r="AB1690" s="304"/>
      <c r="AC1690" s="304"/>
      <c r="AD1690" s="304"/>
      <c r="AE1690" s="304"/>
    </row>
    <row r="1691" spans="2:31" ht="12">
      <c r="B1691" s="55"/>
      <c r="AB1691" s="304"/>
      <c r="AC1691" s="304"/>
      <c r="AD1691" s="304"/>
      <c r="AE1691" s="304"/>
    </row>
    <row r="1692" spans="2:31" ht="12">
      <c r="B1692" s="55"/>
      <c r="AB1692" s="304"/>
      <c r="AC1692" s="304"/>
      <c r="AD1692" s="304"/>
      <c r="AE1692" s="304"/>
    </row>
    <row r="1693" spans="2:31" ht="12">
      <c r="B1693" s="55"/>
      <c r="AB1693" s="304"/>
      <c r="AC1693" s="304"/>
      <c r="AD1693" s="304"/>
      <c r="AE1693" s="304"/>
    </row>
    <row r="1694" spans="2:31" ht="12">
      <c r="B1694" s="55"/>
      <c r="AB1694" s="304"/>
      <c r="AC1694" s="304"/>
      <c r="AD1694" s="304"/>
      <c r="AE1694" s="304"/>
    </row>
    <row r="1695" spans="2:31" ht="12">
      <c r="B1695" s="55"/>
      <c r="AB1695" s="304"/>
      <c r="AC1695" s="304"/>
      <c r="AD1695" s="304"/>
      <c r="AE1695" s="304"/>
    </row>
    <row r="1696" spans="2:31" ht="12">
      <c r="B1696" s="55"/>
      <c r="AB1696" s="304"/>
      <c r="AC1696" s="304"/>
      <c r="AD1696" s="304"/>
      <c r="AE1696" s="304"/>
    </row>
    <row r="1697" spans="2:31" ht="12">
      <c r="B1697" s="55"/>
      <c r="AB1697" s="304"/>
      <c r="AC1697" s="304"/>
      <c r="AD1697" s="304"/>
      <c r="AE1697" s="304"/>
    </row>
    <row r="1698" spans="2:31" ht="12">
      <c r="B1698" s="55"/>
      <c r="AB1698" s="304"/>
      <c r="AC1698" s="304"/>
      <c r="AD1698" s="304"/>
      <c r="AE1698" s="304"/>
    </row>
    <row r="1699" spans="2:31" ht="12">
      <c r="B1699" s="55"/>
      <c r="AB1699" s="304"/>
      <c r="AC1699" s="304"/>
      <c r="AD1699" s="304"/>
      <c r="AE1699" s="304"/>
    </row>
    <row r="1700" spans="2:31" ht="12">
      <c r="B1700" s="55"/>
      <c r="AB1700" s="304"/>
      <c r="AC1700" s="304"/>
      <c r="AD1700" s="304"/>
      <c r="AE1700" s="304"/>
    </row>
    <row r="1701" spans="2:31" ht="12">
      <c r="B1701" s="55"/>
      <c r="AB1701" s="304"/>
      <c r="AC1701" s="304"/>
      <c r="AD1701" s="304"/>
      <c r="AE1701" s="304"/>
    </row>
    <row r="1702" spans="2:31" ht="12">
      <c r="B1702" s="55"/>
      <c r="AB1702" s="304"/>
      <c r="AC1702" s="304"/>
      <c r="AD1702" s="304"/>
      <c r="AE1702" s="304"/>
    </row>
    <row r="1703" spans="2:31" ht="12">
      <c r="B1703" s="55"/>
      <c r="AB1703" s="304"/>
      <c r="AC1703" s="304"/>
      <c r="AD1703" s="304"/>
      <c r="AE1703" s="304"/>
    </row>
    <row r="1704" spans="2:31" ht="12">
      <c r="B1704" s="55"/>
      <c r="AB1704" s="304"/>
      <c r="AC1704" s="304"/>
      <c r="AD1704" s="304"/>
      <c r="AE1704" s="304"/>
    </row>
    <row r="1705" spans="2:31" ht="12">
      <c r="B1705" s="55"/>
      <c r="AB1705" s="304"/>
      <c r="AC1705" s="304"/>
      <c r="AD1705" s="304"/>
      <c r="AE1705" s="304"/>
    </row>
    <row r="1706" spans="2:31" ht="12">
      <c r="B1706" s="55"/>
      <c r="AB1706" s="304"/>
      <c r="AC1706" s="304"/>
      <c r="AD1706" s="304"/>
      <c r="AE1706" s="304"/>
    </row>
    <row r="1707" spans="2:31" ht="12">
      <c r="B1707" s="55"/>
      <c r="AB1707" s="304"/>
      <c r="AC1707" s="304"/>
      <c r="AD1707" s="304"/>
      <c r="AE1707" s="304"/>
    </row>
    <row r="1708" spans="2:31" ht="12">
      <c r="B1708" s="55"/>
      <c r="AB1708" s="304"/>
      <c r="AC1708" s="304"/>
      <c r="AD1708" s="304"/>
      <c r="AE1708" s="304"/>
    </row>
    <row r="1709" spans="2:31" ht="12">
      <c r="B1709" s="55"/>
      <c r="AB1709" s="304"/>
      <c r="AC1709" s="304"/>
      <c r="AD1709" s="304"/>
      <c r="AE1709" s="304"/>
    </row>
    <row r="1710" spans="2:31" ht="12">
      <c r="B1710" s="55"/>
      <c r="AB1710" s="304"/>
      <c r="AC1710" s="304"/>
      <c r="AD1710" s="304"/>
      <c r="AE1710" s="304"/>
    </row>
    <row r="1711" spans="2:31" ht="12">
      <c r="B1711" s="55"/>
      <c r="AB1711" s="304"/>
      <c r="AC1711" s="304"/>
      <c r="AD1711" s="304"/>
      <c r="AE1711" s="304"/>
    </row>
    <row r="1712" spans="2:31" ht="12">
      <c r="B1712" s="55"/>
      <c r="AB1712" s="304"/>
      <c r="AC1712" s="304"/>
      <c r="AD1712" s="304"/>
      <c r="AE1712" s="304"/>
    </row>
    <row r="1713" spans="2:31" ht="12">
      <c r="B1713" s="55"/>
      <c r="AB1713" s="304"/>
      <c r="AC1713" s="304"/>
      <c r="AD1713" s="304"/>
      <c r="AE1713" s="304"/>
    </row>
    <row r="1714" spans="2:31" ht="12">
      <c r="B1714" s="55"/>
      <c r="AB1714" s="304"/>
      <c r="AC1714" s="304"/>
      <c r="AD1714" s="304"/>
      <c r="AE1714" s="304"/>
    </row>
    <row r="1715" spans="2:31" ht="12">
      <c r="B1715" s="55"/>
      <c r="AB1715" s="304"/>
      <c r="AC1715" s="304"/>
      <c r="AD1715" s="304"/>
      <c r="AE1715" s="304"/>
    </row>
    <row r="1716" spans="2:31" ht="12">
      <c r="B1716" s="55"/>
      <c r="AB1716" s="304"/>
      <c r="AC1716" s="304"/>
      <c r="AD1716" s="304"/>
      <c r="AE1716" s="304"/>
    </row>
    <row r="1717" spans="2:31" ht="12">
      <c r="B1717" s="55"/>
      <c r="AB1717" s="304"/>
      <c r="AC1717" s="304"/>
      <c r="AD1717" s="304"/>
      <c r="AE1717" s="304"/>
    </row>
    <row r="1718" spans="2:31" ht="12">
      <c r="B1718" s="55"/>
      <c r="AB1718" s="304"/>
      <c r="AC1718" s="304"/>
      <c r="AD1718" s="304"/>
      <c r="AE1718" s="304"/>
    </row>
    <row r="1719" spans="2:31" ht="12">
      <c r="B1719" s="55"/>
      <c r="AB1719" s="304"/>
      <c r="AC1719" s="304"/>
      <c r="AD1719" s="304"/>
      <c r="AE1719" s="304"/>
    </row>
    <row r="1720" spans="2:31" ht="12">
      <c r="B1720" s="55"/>
      <c r="AB1720" s="304"/>
      <c r="AC1720" s="304"/>
      <c r="AD1720" s="304"/>
      <c r="AE1720" s="304"/>
    </row>
    <row r="1721" spans="2:31" ht="12">
      <c r="B1721" s="55"/>
      <c r="AB1721" s="304"/>
      <c r="AC1721" s="304"/>
      <c r="AD1721" s="304"/>
      <c r="AE1721" s="304"/>
    </row>
    <row r="1722" spans="2:31" ht="12">
      <c r="B1722" s="55"/>
      <c r="AB1722" s="304"/>
      <c r="AC1722" s="304"/>
      <c r="AD1722" s="304"/>
      <c r="AE1722" s="304"/>
    </row>
    <row r="1723" spans="2:31" ht="12">
      <c r="B1723" s="55"/>
      <c r="AB1723" s="304"/>
      <c r="AC1723" s="304"/>
      <c r="AD1723" s="304"/>
      <c r="AE1723" s="304"/>
    </row>
    <row r="1724" spans="2:31" ht="12">
      <c r="B1724" s="55"/>
      <c r="AB1724" s="304"/>
      <c r="AC1724" s="304"/>
      <c r="AD1724" s="304"/>
      <c r="AE1724" s="304"/>
    </row>
    <row r="1725" spans="2:31" ht="12">
      <c r="B1725" s="55"/>
      <c r="AB1725" s="304"/>
      <c r="AC1725" s="304"/>
      <c r="AD1725" s="304"/>
      <c r="AE1725" s="304"/>
    </row>
    <row r="1726" spans="2:31" ht="12">
      <c r="B1726" s="55"/>
      <c r="AB1726" s="304"/>
      <c r="AC1726" s="304"/>
      <c r="AD1726" s="304"/>
      <c r="AE1726" s="304"/>
    </row>
    <row r="1727" spans="2:31" ht="12">
      <c r="B1727" s="55"/>
      <c r="AB1727" s="304"/>
      <c r="AC1727" s="304"/>
      <c r="AD1727" s="304"/>
      <c r="AE1727" s="304"/>
    </row>
    <row r="1728" spans="2:31" ht="12">
      <c r="B1728" s="55"/>
      <c r="AB1728" s="304"/>
      <c r="AC1728" s="304"/>
      <c r="AD1728" s="304"/>
      <c r="AE1728" s="304"/>
    </row>
    <row r="1729" spans="2:31" ht="12">
      <c r="B1729" s="55"/>
      <c r="AB1729" s="304"/>
      <c r="AC1729" s="304"/>
      <c r="AD1729" s="304"/>
      <c r="AE1729" s="304"/>
    </row>
    <row r="1730" spans="2:31" ht="12">
      <c r="B1730" s="55"/>
      <c r="AB1730" s="304"/>
      <c r="AC1730" s="304"/>
      <c r="AD1730" s="304"/>
      <c r="AE1730" s="304"/>
    </row>
    <row r="1731" spans="2:31" ht="12">
      <c r="B1731" s="55"/>
      <c r="AB1731" s="304"/>
      <c r="AC1731" s="304"/>
      <c r="AD1731" s="304"/>
      <c r="AE1731" s="304"/>
    </row>
    <row r="1732" spans="2:31" ht="12">
      <c r="B1732" s="55"/>
      <c r="AB1732" s="304"/>
      <c r="AC1732" s="304"/>
      <c r="AD1732" s="304"/>
      <c r="AE1732" s="304"/>
    </row>
    <row r="1733" spans="2:31" ht="12">
      <c r="B1733" s="55"/>
      <c r="AB1733" s="304"/>
      <c r="AC1733" s="304"/>
      <c r="AD1733" s="304"/>
      <c r="AE1733" s="304"/>
    </row>
    <row r="1734" spans="2:31" ht="12">
      <c r="B1734" s="55"/>
      <c r="AB1734" s="304"/>
      <c r="AC1734" s="304"/>
      <c r="AD1734" s="304"/>
      <c r="AE1734" s="304"/>
    </row>
    <row r="1735" spans="2:31" ht="12">
      <c r="B1735" s="55"/>
      <c r="AB1735" s="304"/>
      <c r="AC1735" s="304"/>
      <c r="AD1735" s="304"/>
      <c r="AE1735" s="304"/>
    </row>
    <row r="1736" spans="2:31" ht="12">
      <c r="B1736" s="55"/>
      <c r="AB1736" s="304"/>
      <c r="AC1736" s="304"/>
      <c r="AD1736" s="304"/>
      <c r="AE1736" s="304"/>
    </row>
    <row r="1737" spans="2:31" ht="12">
      <c r="B1737" s="55"/>
      <c r="AB1737" s="304"/>
      <c r="AC1737" s="304"/>
      <c r="AD1737" s="304"/>
      <c r="AE1737" s="304"/>
    </row>
    <row r="1738" spans="2:31" ht="12">
      <c r="B1738" s="55"/>
      <c r="AB1738" s="304"/>
      <c r="AC1738" s="304"/>
      <c r="AD1738" s="304"/>
      <c r="AE1738" s="304"/>
    </row>
    <row r="1739" spans="2:31" ht="12">
      <c r="B1739" s="55"/>
      <c r="AB1739" s="304"/>
      <c r="AC1739" s="304"/>
      <c r="AD1739" s="304"/>
      <c r="AE1739" s="304"/>
    </row>
    <row r="1740" spans="2:31" ht="12">
      <c r="B1740" s="55"/>
      <c r="AB1740" s="304"/>
      <c r="AC1740" s="304"/>
      <c r="AD1740" s="304"/>
      <c r="AE1740" s="304"/>
    </row>
    <row r="1741" spans="2:31" ht="12">
      <c r="B1741" s="55"/>
      <c r="AB1741" s="304"/>
      <c r="AC1741" s="304"/>
      <c r="AD1741" s="304"/>
      <c r="AE1741" s="304"/>
    </row>
    <row r="1742" spans="2:31" ht="12">
      <c r="B1742" s="55"/>
      <c r="AB1742" s="304"/>
      <c r="AC1742" s="304"/>
      <c r="AD1742" s="304"/>
      <c r="AE1742" s="304"/>
    </row>
    <row r="1743" spans="2:31" ht="12">
      <c r="B1743" s="55"/>
      <c r="AB1743" s="304"/>
      <c r="AC1743" s="304"/>
      <c r="AD1743" s="304"/>
      <c r="AE1743" s="304"/>
    </row>
    <row r="1744" spans="2:31" ht="12">
      <c r="B1744" s="55"/>
      <c r="AB1744" s="304"/>
      <c r="AC1744" s="304"/>
      <c r="AD1744" s="304"/>
      <c r="AE1744" s="304"/>
    </row>
    <row r="1745" spans="2:31" ht="12">
      <c r="B1745" s="55"/>
      <c r="AB1745" s="304"/>
      <c r="AC1745" s="304"/>
      <c r="AD1745" s="304"/>
      <c r="AE1745" s="304"/>
    </row>
    <row r="1746" spans="2:31" ht="12">
      <c r="B1746" s="55"/>
      <c r="AB1746" s="304"/>
      <c r="AC1746" s="304"/>
      <c r="AD1746" s="304"/>
      <c r="AE1746" s="304"/>
    </row>
    <row r="1747" spans="2:31" ht="12">
      <c r="B1747" s="55"/>
      <c r="AB1747" s="304"/>
      <c r="AC1747" s="304"/>
      <c r="AD1747" s="304"/>
      <c r="AE1747" s="304"/>
    </row>
    <row r="1748" spans="2:31" ht="12">
      <c r="B1748" s="55"/>
      <c r="AB1748" s="304"/>
      <c r="AC1748" s="304"/>
      <c r="AD1748" s="304"/>
      <c r="AE1748" s="304"/>
    </row>
    <row r="1749" spans="2:31" ht="12">
      <c r="B1749" s="55"/>
      <c r="AB1749" s="304"/>
      <c r="AC1749" s="304"/>
      <c r="AD1749" s="304"/>
      <c r="AE1749" s="304"/>
    </row>
    <row r="1750" spans="2:31" ht="12">
      <c r="B1750" s="55"/>
      <c r="AB1750" s="304"/>
      <c r="AC1750" s="304"/>
      <c r="AD1750" s="304"/>
      <c r="AE1750" s="304"/>
    </row>
    <row r="1751" spans="2:31" ht="12">
      <c r="B1751" s="55"/>
      <c r="AB1751" s="304"/>
      <c r="AC1751" s="304"/>
      <c r="AD1751" s="304"/>
      <c r="AE1751" s="304"/>
    </row>
    <row r="1752" spans="2:31" ht="12">
      <c r="B1752" s="55"/>
      <c r="AB1752" s="304"/>
      <c r="AC1752" s="304"/>
      <c r="AD1752" s="304"/>
      <c r="AE1752" s="304"/>
    </row>
    <row r="1753" spans="2:31" ht="12">
      <c r="B1753" s="55"/>
      <c r="AB1753" s="304"/>
      <c r="AC1753" s="304"/>
      <c r="AD1753" s="304"/>
      <c r="AE1753" s="304"/>
    </row>
    <row r="1754" spans="2:31" ht="12">
      <c r="B1754" s="55"/>
      <c r="AB1754" s="304"/>
      <c r="AC1754" s="304"/>
      <c r="AD1754" s="304"/>
      <c r="AE1754" s="304"/>
    </row>
    <row r="1755" spans="2:31" ht="12">
      <c r="B1755" s="55"/>
      <c r="AB1755" s="304"/>
      <c r="AC1755" s="304"/>
      <c r="AD1755" s="304"/>
      <c r="AE1755" s="304"/>
    </row>
    <row r="1756" spans="2:31" ht="12">
      <c r="B1756" s="55"/>
      <c r="AB1756" s="304"/>
      <c r="AC1756" s="304"/>
      <c r="AD1756" s="304"/>
      <c r="AE1756" s="304"/>
    </row>
    <row r="1757" spans="2:31" ht="12">
      <c r="B1757" s="55"/>
      <c r="AB1757" s="304"/>
      <c r="AC1757" s="304"/>
      <c r="AD1757" s="304"/>
      <c r="AE1757" s="304"/>
    </row>
    <row r="1758" spans="2:31" ht="12">
      <c r="B1758" s="55"/>
      <c r="AB1758" s="304"/>
      <c r="AC1758" s="304"/>
      <c r="AD1758" s="304"/>
      <c r="AE1758" s="304"/>
    </row>
    <row r="1759" spans="2:31" ht="12">
      <c r="B1759" s="55"/>
      <c r="AB1759" s="304"/>
      <c r="AC1759" s="304"/>
      <c r="AD1759" s="304"/>
      <c r="AE1759" s="304"/>
    </row>
    <row r="1760" spans="2:31" ht="12">
      <c r="B1760" s="55"/>
      <c r="AB1760" s="304"/>
      <c r="AC1760" s="304"/>
      <c r="AD1760" s="304"/>
      <c r="AE1760" s="304"/>
    </row>
    <row r="1761" spans="2:31" ht="12">
      <c r="B1761" s="55"/>
      <c r="AB1761" s="304"/>
      <c r="AC1761" s="304"/>
      <c r="AD1761" s="304"/>
      <c r="AE1761" s="304"/>
    </row>
    <row r="1762" spans="2:31" ht="12">
      <c r="B1762" s="55"/>
      <c r="AB1762" s="304"/>
      <c r="AC1762" s="304"/>
      <c r="AD1762" s="304"/>
      <c r="AE1762" s="304"/>
    </row>
    <row r="1763" spans="2:31" ht="12">
      <c r="B1763" s="55"/>
      <c r="AB1763" s="304"/>
      <c r="AC1763" s="304"/>
      <c r="AD1763" s="304"/>
      <c r="AE1763" s="304"/>
    </row>
    <row r="1764" spans="2:31" ht="12">
      <c r="B1764" s="55"/>
      <c r="AB1764" s="304"/>
      <c r="AC1764" s="304"/>
      <c r="AD1764" s="304"/>
      <c r="AE1764" s="304"/>
    </row>
    <row r="1765" spans="2:31" ht="12">
      <c r="B1765" s="55"/>
      <c r="AB1765" s="304"/>
      <c r="AC1765" s="304"/>
      <c r="AD1765" s="304"/>
      <c r="AE1765" s="304"/>
    </row>
    <row r="1766" spans="2:31" ht="12">
      <c r="B1766" s="55"/>
      <c r="AB1766" s="304"/>
      <c r="AC1766" s="304"/>
      <c r="AD1766" s="304"/>
      <c r="AE1766" s="304"/>
    </row>
    <row r="1767" spans="2:31" ht="12">
      <c r="B1767" s="55"/>
      <c r="AB1767" s="304"/>
      <c r="AC1767" s="304"/>
      <c r="AD1767" s="304"/>
      <c r="AE1767" s="304"/>
    </row>
    <row r="1768" spans="2:31" ht="12">
      <c r="B1768" s="55"/>
      <c r="AB1768" s="304"/>
      <c r="AC1768" s="304"/>
      <c r="AD1768" s="304"/>
      <c r="AE1768" s="304"/>
    </row>
    <row r="1769" spans="2:31" ht="12">
      <c r="B1769" s="55"/>
      <c r="AB1769" s="304"/>
      <c r="AC1769" s="304"/>
      <c r="AD1769" s="304"/>
      <c r="AE1769" s="304"/>
    </row>
    <row r="1770" spans="2:31" ht="12">
      <c r="B1770" s="55"/>
      <c r="AB1770" s="304"/>
      <c r="AC1770" s="304"/>
      <c r="AD1770" s="304"/>
      <c r="AE1770" s="304"/>
    </row>
    <row r="1771" spans="2:31" ht="12">
      <c r="B1771" s="55"/>
      <c r="AB1771" s="304"/>
      <c r="AC1771" s="304"/>
      <c r="AD1771" s="304"/>
      <c r="AE1771" s="304"/>
    </row>
    <row r="1772" spans="2:31" ht="12">
      <c r="B1772" s="55"/>
      <c r="AB1772" s="304"/>
      <c r="AC1772" s="304"/>
      <c r="AD1772" s="304"/>
      <c r="AE1772" s="304"/>
    </row>
    <row r="1773" spans="2:31" ht="12">
      <c r="B1773" s="55"/>
      <c r="AB1773" s="304"/>
      <c r="AC1773" s="304"/>
      <c r="AD1773" s="304"/>
      <c r="AE1773" s="304"/>
    </row>
    <row r="1774" spans="2:31" ht="12">
      <c r="B1774" s="55"/>
      <c r="AB1774" s="304"/>
      <c r="AC1774" s="304"/>
      <c r="AD1774" s="304"/>
      <c r="AE1774" s="304"/>
    </row>
    <row r="1775" spans="2:31" ht="12">
      <c r="B1775" s="55"/>
      <c r="AB1775" s="304"/>
      <c r="AC1775" s="304"/>
      <c r="AD1775" s="304"/>
      <c r="AE1775" s="304"/>
    </row>
    <row r="1776" spans="2:31" ht="12">
      <c r="B1776" s="55"/>
      <c r="AB1776" s="304"/>
      <c r="AC1776" s="304"/>
      <c r="AD1776" s="304"/>
      <c r="AE1776" s="304"/>
    </row>
    <row r="1777" spans="2:31" ht="12">
      <c r="B1777" s="55"/>
      <c r="AB1777" s="304"/>
      <c r="AC1777" s="304"/>
      <c r="AD1777" s="304"/>
      <c r="AE1777" s="304"/>
    </row>
    <row r="1778" spans="2:31" ht="12">
      <c r="B1778" s="55"/>
      <c r="AB1778" s="304"/>
      <c r="AC1778" s="304"/>
      <c r="AD1778" s="304"/>
      <c r="AE1778" s="304"/>
    </row>
    <row r="1779" spans="2:31" ht="12">
      <c r="B1779" s="55"/>
      <c r="AB1779" s="304"/>
      <c r="AC1779" s="304"/>
      <c r="AD1779" s="304"/>
      <c r="AE1779" s="304"/>
    </row>
    <row r="1780" spans="2:31" ht="12">
      <c r="B1780" s="55"/>
      <c r="AB1780" s="304"/>
      <c r="AC1780" s="304"/>
      <c r="AD1780" s="304"/>
      <c r="AE1780" s="304"/>
    </row>
    <row r="1781" spans="2:31" ht="12">
      <c r="B1781" s="55"/>
      <c r="AB1781" s="304"/>
      <c r="AC1781" s="304"/>
      <c r="AD1781" s="304"/>
      <c r="AE1781" s="304"/>
    </row>
    <row r="1782" spans="2:31" ht="12">
      <c r="B1782" s="55"/>
      <c r="AB1782" s="304"/>
      <c r="AC1782" s="304"/>
      <c r="AD1782" s="304"/>
      <c r="AE1782" s="304"/>
    </row>
    <row r="1783" spans="2:31" ht="12">
      <c r="B1783" s="55"/>
      <c r="AB1783" s="304"/>
      <c r="AC1783" s="304"/>
      <c r="AD1783" s="304"/>
      <c r="AE1783" s="304"/>
    </row>
    <row r="1784" spans="2:31" ht="12">
      <c r="B1784" s="55"/>
      <c r="AB1784" s="304"/>
      <c r="AC1784" s="304"/>
      <c r="AD1784" s="304"/>
      <c r="AE1784" s="304"/>
    </row>
    <row r="1785" spans="2:31" ht="12">
      <c r="B1785" s="55"/>
      <c r="AB1785" s="304"/>
      <c r="AC1785" s="304"/>
      <c r="AD1785" s="304"/>
      <c r="AE1785" s="304"/>
    </row>
    <row r="1786" spans="2:31" ht="12">
      <c r="B1786" s="55"/>
      <c r="AB1786" s="304"/>
      <c r="AC1786" s="304"/>
      <c r="AD1786" s="304"/>
      <c r="AE1786" s="304"/>
    </row>
    <row r="1787" spans="2:31" ht="12">
      <c r="B1787" s="55"/>
      <c r="AB1787" s="304"/>
      <c r="AC1787" s="304"/>
      <c r="AD1787" s="304"/>
      <c r="AE1787" s="304"/>
    </row>
    <row r="1788" spans="2:31" ht="12">
      <c r="B1788" s="55"/>
      <c r="AB1788" s="304"/>
      <c r="AC1788" s="304"/>
      <c r="AD1788" s="304"/>
      <c r="AE1788" s="304"/>
    </row>
    <row r="1789" spans="2:31" ht="12">
      <c r="B1789" s="55"/>
      <c r="AB1789" s="304"/>
      <c r="AC1789" s="304"/>
      <c r="AD1789" s="304"/>
      <c r="AE1789" s="304"/>
    </row>
    <row r="1790" spans="2:31" ht="12">
      <c r="B1790" s="55"/>
      <c r="AB1790" s="304"/>
      <c r="AC1790" s="304"/>
      <c r="AD1790" s="304"/>
      <c r="AE1790" s="304"/>
    </row>
    <row r="1791" spans="2:31" ht="12">
      <c r="B1791" s="55"/>
      <c r="AB1791" s="304"/>
      <c r="AC1791" s="304"/>
      <c r="AD1791" s="304"/>
      <c r="AE1791" s="304"/>
    </row>
    <row r="1792" spans="2:31" ht="12">
      <c r="B1792" s="55"/>
      <c r="AB1792" s="304"/>
      <c r="AC1792" s="304"/>
      <c r="AD1792" s="304"/>
      <c r="AE1792" s="304"/>
    </row>
    <row r="1793" spans="2:31" ht="12">
      <c r="B1793" s="55"/>
      <c r="AB1793" s="304"/>
      <c r="AC1793" s="304"/>
      <c r="AD1793" s="304"/>
      <c r="AE1793" s="304"/>
    </row>
    <row r="1794" spans="2:31" ht="12">
      <c r="B1794" s="55"/>
      <c r="AB1794" s="304"/>
      <c r="AC1794" s="304"/>
      <c r="AD1794" s="304"/>
      <c r="AE1794" s="304"/>
    </row>
    <row r="1795" spans="2:31" ht="12">
      <c r="B1795" s="55"/>
      <c r="AB1795" s="304"/>
      <c r="AC1795" s="304"/>
      <c r="AD1795" s="304"/>
      <c r="AE1795" s="304"/>
    </row>
    <row r="1796" spans="2:31" ht="12">
      <c r="B1796" s="55"/>
      <c r="AB1796" s="304"/>
      <c r="AC1796" s="304"/>
      <c r="AD1796" s="304"/>
      <c r="AE1796" s="304"/>
    </row>
    <row r="1797" spans="2:31" ht="12">
      <c r="B1797" s="55"/>
      <c r="AB1797" s="304"/>
      <c r="AC1797" s="304"/>
      <c r="AD1797" s="304"/>
      <c r="AE1797" s="304"/>
    </row>
    <row r="1798" spans="2:31" ht="12">
      <c r="B1798" s="55"/>
      <c r="AB1798" s="304"/>
      <c r="AC1798" s="304"/>
      <c r="AD1798" s="304"/>
      <c r="AE1798" s="304"/>
    </row>
    <row r="1799" spans="2:31" ht="12">
      <c r="B1799" s="55"/>
      <c r="AB1799" s="304"/>
      <c r="AC1799" s="304"/>
      <c r="AD1799" s="304"/>
      <c r="AE1799" s="304"/>
    </row>
    <row r="1800" spans="2:31" ht="12">
      <c r="B1800" s="55"/>
      <c r="AB1800" s="304"/>
      <c r="AC1800" s="304"/>
      <c r="AD1800" s="304"/>
      <c r="AE1800" s="304"/>
    </row>
    <row r="1801" spans="2:31" ht="12">
      <c r="B1801" s="55"/>
      <c r="AB1801" s="304"/>
      <c r="AC1801" s="304"/>
      <c r="AD1801" s="304"/>
      <c r="AE1801" s="304"/>
    </row>
    <row r="1802" spans="2:31" ht="12">
      <c r="B1802" s="55"/>
      <c r="AB1802" s="304"/>
      <c r="AC1802" s="304"/>
      <c r="AD1802" s="304"/>
      <c r="AE1802" s="304"/>
    </row>
    <row r="1803" spans="2:31" ht="12">
      <c r="B1803" s="55"/>
      <c r="AB1803" s="304"/>
      <c r="AC1803" s="304"/>
      <c r="AD1803" s="304"/>
      <c r="AE1803" s="304"/>
    </row>
    <row r="1804" spans="2:31" ht="12">
      <c r="B1804" s="55"/>
      <c r="AB1804" s="304"/>
      <c r="AC1804" s="304"/>
      <c r="AD1804" s="304"/>
      <c r="AE1804" s="304"/>
    </row>
    <row r="1805" spans="2:31" ht="12">
      <c r="B1805" s="55"/>
      <c r="AB1805" s="304"/>
      <c r="AC1805" s="304"/>
      <c r="AD1805" s="304"/>
      <c r="AE1805" s="304"/>
    </row>
    <row r="1806" spans="2:31" ht="12">
      <c r="B1806" s="55"/>
      <c r="AB1806" s="304"/>
      <c r="AC1806" s="304"/>
      <c r="AD1806" s="304"/>
      <c r="AE1806" s="304"/>
    </row>
    <row r="1807" spans="2:31" ht="12">
      <c r="B1807" s="55"/>
      <c r="AB1807" s="304"/>
      <c r="AC1807" s="304"/>
      <c r="AD1807" s="304"/>
      <c r="AE1807" s="304"/>
    </row>
    <row r="1808" spans="2:31" ht="12">
      <c r="B1808" s="55"/>
      <c r="AB1808" s="304"/>
      <c r="AC1808" s="304"/>
      <c r="AD1808" s="304"/>
      <c r="AE1808" s="304"/>
    </row>
    <row r="1809" spans="2:31" ht="12">
      <c r="B1809" s="55"/>
      <c r="AB1809" s="304"/>
      <c r="AC1809" s="304"/>
      <c r="AD1809" s="304"/>
      <c r="AE1809" s="304"/>
    </row>
    <row r="1810" spans="2:31" ht="12">
      <c r="B1810" s="55"/>
      <c r="AB1810" s="304"/>
      <c r="AC1810" s="304"/>
      <c r="AD1810" s="304"/>
      <c r="AE1810" s="304"/>
    </row>
    <row r="1811" spans="2:31" ht="12">
      <c r="B1811" s="55"/>
      <c r="AB1811" s="304"/>
      <c r="AC1811" s="304"/>
      <c r="AD1811" s="304"/>
      <c r="AE1811" s="304"/>
    </row>
    <row r="1812" spans="2:31" ht="12">
      <c r="B1812" s="55"/>
      <c r="AB1812" s="304"/>
      <c r="AC1812" s="304"/>
      <c r="AD1812" s="304"/>
      <c r="AE1812" s="304"/>
    </row>
    <row r="1813" spans="2:31" ht="12">
      <c r="B1813" s="55"/>
      <c r="AB1813" s="304"/>
      <c r="AC1813" s="304"/>
      <c r="AD1813" s="304"/>
      <c r="AE1813" s="304"/>
    </row>
    <row r="1814" spans="2:31" ht="12">
      <c r="B1814" s="55"/>
      <c r="AB1814" s="304"/>
      <c r="AC1814" s="304"/>
      <c r="AD1814" s="304"/>
      <c r="AE1814" s="304"/>
    </row>
    <row r="1815" spans="2:31" ht="12">
      <c r="B1815" s="55"/>
      <c r="AB1815" s="304"/>
      <c r="AC1815" s="304"/>
      <c r="AD1815" s="304"/>
      <c r="AE1815" s="304"/>
    </row>
    <row r="1816" spans="2:31" ht="12">
      <c r="B1816" s="55"/>
      <c r="AB1816" s="304"/>
      <c r="AC1816" s="304"/>
      <c r="AD1816" s="304"/>
      <c r="AE1816" s="304"/>
    </row>
    <row r="1817" spans="2:31" ht="12">
      <c r="B1817" s="55"/>
      <c r="AB1817" s="304"/>
      <c r="AC1817" s="304"/>
      <c r="AD1817" s="304"/>
      <c r="AE1817" s="304"/>
    </row>
    <row r="1818" spans="2:31" ht="12">
      <c r="B1818" s="55"/>
      <c r="AB1818" s="304"/>
      <c r="AC1818" s="304"/>
      <c r="AD1818" s="304"/>
      <c r="AE1818" s="304"/>
    </row>
    <row r="1819" spans="2:31" ht="12">
      <c r="B1819" s="55"/>
      <c r="AB1819" s="304"/>
      <c r="AC1819" s="304"/>
      <c r="AD1819" s="304"/>
      <c r="AE1819" s="304"/>
    </row>
    <row r="1820" spans="2:31" ht="12">
      <c r="B1820" s="55"/>
      <c r="AB1820" s="304"/>
      <c r="AC1820" s="304"/>
      <c r="AD1820" s="304"/>
      <c r="AE1820" s="304"/>
    </row>
    <row r="1821" spans="2:31" ht="12">
      <c r="B1821" s="55"/>
      <c r="AB1821" s="304"/>
      <c r="AC1821" s="304"/>
      <c r="AD1821" s="304"/>
      <c r="AE1821" s="304"/>
    </row>
    <row r="1822" spans="2:31" ht="12">
      <c r="B1822" s="55"/>
      <c r="AB1822" s="304"/>
      <c r="AC1822" s="304"/>
      <c r="AD1822" s="304"/>
      <c r="AE1822" s="304"/>
    </row>
    <row r="1823" spans="2:31" ht="12">
      <c r="B1823" s="55"/>
      <c r="AB1823" s="304"/>
      <c r="AC1823" s="304"/>
      <c r="AD1823" s="304"/>
      <c r="AE1823" s="304"/>
    </row>
    <row r="1824" spans="2:31" ht="12">
      <c r="B1824" s="55"/>
      <c r="AB1824" s="304"/>
      <c r="AC1824" s="304"/>
      <c r="AD1824" s="304"/>
      <c r="AE1824" s="304"/>
    </row>
    <row r="1825" spans="2:31" ht="12">
      <c r="B1825" s="55"/>
      <c r="AB1825" s="304"/>
      <c r="AC1825" s="304"/>
      <c r="AD1825" s="304"/>
      <c r="AE1825" s="304"/>
    </row>
    <row r="1826" spans="2:31" ht="12">
      <c r="B1826" s="55"/>
      <c r="AB1826" s="304"/>
      <c r="AC1826" s="304"/>
      <c r="AD1826" s="304"/>
      <c r="AE1826" s="304"/>
    </row>
    <row r="1827" spans="2:31" ht="12">
      <c r="B1827" s="55"/>
      <c r="AB1827" s="304"/>
      <c r="AC1827" s="304"/>
      <c r="AD1827" s="304"/>
      <c r="AE1827" s="304"/>
    </row>
    <row r="1828" spans="2:31" ht="12">
      <c r="B1828" s="55"/>
      <c r="AB1828" s="304"/>
      <c r="AC1828" s="304"/>
      <c r="AD1828" s="304"/>
      <c r="AE1828" s="304"/>
    </row>
    <row r="1829" spans="2:31" ht="12">
      <c r="B1829" s="55"/>
      <c r="AB1829" s="304"/>
      <c r="AC1829" s="304"/>
      <c r="AD1829" s="304"/>
      <c r="AE1829" s="304"/>
    </row>
    <row r="1830" spans="2:31" ht="12">
      <c r="B1830" s="55"/>
      <c r="AB1830" s="304"/>
      <c r="AC1830" s="304"/>
      <c r="AD1830" s="304"/>
      <c r="AE1830" s="304"/>
    </row>
    <row r="1831" spans="2:31" ht="12">
      <c r="B1831" s="55"/>
      <c r="AB1831" s="304"/>
      <c r="AC1831" s="304"/>
      <c r="AD1831" s="304"/>
      <c r="AE1831" s="304"/>
    </row>
    <row r="1832" spans="2:31" ht="12">
      <c r="B1832" s="55"/>
      <c r="AB1832" s="304"/>
      <c r="AC1832" s="304"/>
      <c r="AD1832" s="304"/>
      <c r="AE1832" s="304"/>
    </row>
    <row r="1833" spans="2:31" ht="12">
      <c r="B1833" s="55"/>
      <c r="AB1833" s="304"/>
      <c r="AC1833" s="304"/>
      <c r="AD1833" s="304"/>
      <c r="AE1833" s="304"/>
    </row>
    <row r="1834" spans="2:31" ht="12">
      <c r="B1834" s="55"/>
      <c r="AB1834" s="304"/>
      <c r="AC1834" s="304"/>
      <c r="AD1834" s="304"/>
      <c r="AE1834" s="304"/>
    </row>
    <row r="1835" spans="2:31" ht="12">
      <c r="B1835" s="55"/>
      <c r="AB1835" s="304"/>
      <c r="AC1835" s="304"/>
      <c r="AD1835" s="304"/>
      <c r="AE1835" s="304"/>
    </row>
    <row r="1836" spans="2:31" ht="12">
      <c r="B1836" s="55"/>
      <c r="AB1836" s="304"/>
      <c r="AC1836" s="304"/>
      <c r="AD1836" s="304"/>
      <c r="AE1836" s="304"/>
    </row>
    <row r="1837" spans="2:31" ht="12">
      <c r="B1837" s="55"/>
      <c r="AB1837" s="304"/>
      <c r="AC1837" s="304"/>
      <c r="AD1837" s="304"/>
      <c r="AE1837" s="304"/>
    </row>
    <row r="1838" spans="2:31" ht="12">
      <c r="B1838" s="55"/>
      <c r="AB1838" s="304"/>
      <c r="AC1838" s="304"/>
      <c r="AD1838" s="304"/>
      <c r="AE1838" s="304"/>
    </row>
    <row r="1839" spans="2:31" ht="12">
      <c r="B1839" s="55"/>
      <c r="AB1839" s="304"/>
      <c r="AC1839" s="304"/>
      <c r="AD1839" s="304"/>
      <c r="AE1839" s="304"/>
    </row>
    <row r="1840" spans="2:31" ht="12">
      <c r="B1840" s="55"/>
      <c r="AB1840" s="304"/>
      <c r="AC1840" s="304"/>
      <c r="AD1840" s="304"/>
      <c r="AE1840" s="304"/>
    </row>
    <row r="1841" spans="2:31" ht="12">
      <c r="B1841" s="55"/>
      <c r="AB1841" s="304"/>
      <c r="AC1841" s="304"/>
      <c r="AD1841" s="304"/>
      <c r="AE1841" s="304"/>
    </row>
    <row r="1842" spans="2:31" ht="12">
      <c r="B1842" s="55"/>
      <c r="AB1842" s="304"/>
      <c r="AC1842" s="304"/>
      <c r="AD1842" s="304"/>
      <c r="AE1842" s="304"/>
    </row>
    <row r="1843" spans="2:31" ht="12">
      <c r="B1843" s="55"/>
      <c r="AB1843" s="304"/>
      <c r="AC1843" s="304"/>
      <c r="AD1843" s="304"/>
      <c r="AE1843" s="304"/>
    </row>
    <row r="1844" spans="2:31" ht="12">
      <c r="B1844" s="55"/>
      <c r="AB1844" s="304"/>
      <c r="AC1844" s="304"/>
      <c r="AD1844" s="304"/>
      <c r="AE1844" s="304"/>
    </row>
    <row r="1845" spans="2:31" ht="12">
      <c r="B1845" s="55"/>
      <c r="AB1845" s="304"/>
      <c r="AC1845" s="304"/>
      <c r="AD1845" s="304"/>
      <c r="AE1845" s="304"/>
    </row>
    <row r="1846" spans="2:31" ht="12">
      <c r="B1846" s="55"/>
      <c r="AB1846" s="304"/>
      <c r="AC1846" s="304"/>
      <c r="AD1846" s="304"/>
      <c r="AE1846" s="304"/>
    </row>
    <row r="1847" spans="2:31" ht="12">
      <c r="B1847" s="55"/>
      <c r="AB1847" s="304"/>
      <c r="AC1847" s="304"/>
      <c r="AD1847" s="304"/>
      <c r="AE1847" s="304"/>
    </row>
    <row r="1848" spans="2:31" ht="12">
      <c r="B1848" s="55"/>
      <c r="AB1848" s="304"/>
      <c r="AC1848" s="304"/>
      <c r="AD1848" s="304"/>
      <c r="AE1848" s="304"/>
    </row>
    <row r="1849" spans="2:31" ht="12">
      <c r="B1849" s="55"/>
      <c r="AB1849" s="304"/>
      <c r="AC1849" s="304"/>
      <c r="AD1849" s="304"/>
      <c r="AE1849" s="304"/>
    </row>
    <row r="1850" spans="2:31" ht="12">
      <c r="B1850" s="55"/>
      <c r="AB1850" s="304"/>
      <c r="AC1850" s="304"/>
      <c r="AD1850" s="304"/>
      <c r="AE1850" s="304"/>
    </row>
    <row r="1851" spans="2:31" ht="12">
      <c r="B1851" s="55"/>
      <c r="AB1851" s="304"/>
      <c r="AC1851" s="304"/>
      <c r="AD1851" s="304"/>
      <c r="AE1851" s="304"/>
    </row>
    <row r="1852" spans="2:31" ht="12">
      <c r="B1852" s="55"/>
      <c r="AB1852" s="304"/>
      <c r="AC1852" s="304"/>
      <c r="AD1852" s="304"/>
      <c r="AE1852" s="304"/>
    </row>
    <row r="1853" spans="2:31" ht="12">
      <c r="B1853" s="55"/>
      <c r="AB1853" s="304"/>
      <c r="AC1853" s="304"/>
      <c r="AD1853" s="304"/>
      <c r="AE1853" s="304"/>
    </row>
    <row r="1854" spans="2:31" ht="12">
      <c r="B1854" s="55"/>
      <c r="AB1854" s="304"/>
      <c r="AC1854" s="304"/>
      <c r="AD1854" s="304"/>
      <c r="AE1854" s="304"/>
    </row>
    <row r="1855" spans="2:31" ht="12">
      <c r="B1855" s="55"/>
      <c r="AB1855" s="304"/>
      <c r="AC1855" s="304"/>
      <c r="AD1855" s="304"/>
      <c r="AE1855" s="304"/>
    </row>
    <row r="1856" spans="2:31" ht="12">
      <c r="B1856" s="55"/>
      <c r="AB1856" s="304"/>
      <c r="AC1856" s="304"/>
      <c r="AD1856" s="304"/>
      <c r="AE1856" s="304"/>
    </row>
    <row r="1857" spans="2:31" ht="12">
      <c r="B1857" s="55"/>
      <c r="AB1857" s="304"/>
      <c r="AC1857" s="304"/>
      <c r="AD1857" s="304"/>
      <c r="AE1857" s="304"/>
    </row>
    <row r="1858" spans="2:31" ht="12">
      <c r="B1858" s="55"/>
      <c r="AB1858" s="304"/>
      <c r="AC1858" s="304"/>
      <c r="AD1858" s="304"/>
      <c r="AE1858" s="304"/>
    </row>
    <row r="1859" spans="2:31" ht="12">
      <c r="B1859" s="55"/>
      <c r="AB1859" s="304"/>
      <c r="AC1859" s="304"/>
      <c r="AD1859" s="304"/>
      <c r="AE1859" s="304"/>
    </row>
    <row r="1860" spans="2:31" ht="12">
      <c r="B1860" s="55"/>
      <c r="AB1860" s="304"/>
      <c r="AC1860" s="304"/>
      <c r="AD1860" s="304"/>
      <c r="AE1860" s="304"/>
    </row>
    <row r="1861" spans="2:31" ht="12">
      <c r="B1861" s="55"/>
      <c r="AB1861" s="304"/>
      <c r="AC1861" s="304"/>
      <c r="AD1861" s="304"/>
      <c r="AE1861" s="304"/>
    </row>
    <row r="1862" spans="2:31" ht="12">
      <c r="B1862" s="55"/>
      <c r="AB1862" s="304"/>
      <c r="AC1862" s="304"/>
      <c r="AD1862" s="304"/>
      <c r="AE1862" s="304"/>
    </row>
    <row r="1863" spans="2:31" ht="12">
      <c r="B1863" s="55"/>
      <c r="AB1863" s="304"/>
      <c r="AC1863" s="304"/>
      <c r="AD1863" s="304"/>
      <c r="AE1863" s="304"/>
    </row>
    <row r="1864" spans="2:31" ht="12">
      <c r="B1864" s="55"/>
      <c r="AB1864" s="304"/>
      <c r="AC1864" s="304"/>
      <c r="AD1864" s="304"/>
      <c r="AE1864" s="304"/>
    </row>
    <row r="1865" spans="2:31" ht="12">
      <c r="B1865" s="55"/>
      <c r="AB1865" s="304"/>
      <c r="AC1865" s="304"/>
      <c r="AD1865" s="304"/>
      <c r="AE1865" s="304"/>
    </row>
    <row r="1866" spans="2:31" ht="12">
      <c r="B1866" s="55"/>
      <c r="AB1866" s="304"/>
      <c r="AC1866" s="304"/>
      <c r="AD1866" s="304"/>
      <c r="AE1866" s="304"/>
    </row>
    <row r="1867" spans="2:31" ht="12">
      <c r="B1867" s="55"/>
      <c r="AB1867" s="304"/>
      <c r="AC1867" s="304"/>
      <c r="AD1867" s="304"/>
      <c r="AE1867" s="304"/>
    </row>
    <row r="1868" spans="2:31" ht="12">
      <c r="B1868" s="55"/>
      <c r="AB1868" s="304"/>
      <c r="AC1868" s="304"/>
      <c r="AD1868" s="304"/>
      <c r="AE1868" s="304"/>
    </row>
    <row r="1869" spans="2:31" ht="12">
      <c r="B1869" s="55"/>
      <c r="AB1869" s="304"/>
      <c r="AC1869" s="304"/>
      <c r="AD1869" s="304"/>
      <c r="AE1869" s="304"/>
    </row>
    <row r="1870" spans="2:31" ht="12">
      <c r="B1870" s="55"/>
      <c r="AB1870" s="304"/>
      <c r="AC1870" s="304"/>
      <c r="AD1870" s="304"/>
      <c r="AE1870" s="304"/>
    </row>
    <row r="1871" spans="2:31" ht="12">
      <c r="B1871" s="55"/>
      <c r="AB1871" s="304"/>
      <c r="AC1871" s="304"/>
      <c r="AD1871" s="304"/>
      <c r="AE1871" s="304"/>
    </row>
    <row r="1872" spans="2:31" ht="12">
      <c r="B1872" s="55"/>
      <c r="AB1872" s="304"/>
      <c r="AC1872" s="304"/>
      <c r="AD1872" s="304"/>
      <c r="AE1872" s="304"/>
    </row>
    <row r="1873" spans="2:31" ht="12">
      <c r="B1873" s="55"/>
      <c r="AB1873" s="304"/>
      <c r="AC1873" s="304"/>
      <c r="AD1873" s="304"/>
      <c r="AE1873" s="304"/>
    </row>
    <row r="1874" spans="2:31" ht="12">
      <c r="B1874" s="55"/>
      <c r="AB1874" s="304"/>
      <c r="AC1874" s="304"/>
      <c r="AD1874" s="304"/>
      <c r="AE1874" s="304"/>
    </row>
    <row r="1875" spans="2:31" ht="12">
      <c r="B1875" s="55"/>
      <c r="AB1875" s="304"/>
      <c r="AC1875" s="304"/>
      <c r="AD1875" s="304"/>
      <c r="AE1875" s="304"/>
    </row>
    <row r="1876" spans="2:31" ht="12">
      <c r="B1876" s="55"/>
      <c r="AB1876" s="304"/>
      <c r="AC1876" s="304"/>
      <c r="AD1876" s="304"/>
      <c r="AE1876" s="304"/>
    </row>
    <row r="1877" spans="2:31" ht="12">
      <c r="B1877" s="55"/>
      <c r="AB1877" s="304"/>
      <c r="AC1877" s="304"/>
      <c r="AD1877" s="304"/>
      <c r="AE1877" s="304"/>
    </row>
    <row r="1878" spans="2:31" ht="12">
      <c r="B1878" s="55"/>
      <c r="AB1878" s="304"/>
      <c r="AC1878" s="304"/>
      <c r="AD1878" s="304"/>
      <c r="AE1878" s="304"/>
    </row>
    <row r="1879" spans="2:31" ht="12">
      <c r="B1879" s="55"/>
      <c r="AB1879" s="304"/>
      <c r="AC1879" s="304"/>
      <c r="AD1879" s="304"/>
      <c r="AE1879" s="304"/>
    </row>
    <row r="1880" spans="2:31" ht="12">
      <c r="B1880" s="55"/>
      <c r="AB1880" s="304"/>
      <c r="AC1880" s="304"/>
      <c r="AD1880" s="304"/>
      <c r="AE1880" s="304"/>
    </row>
    <row r="1881" spans="2:31" ht="12">
      <c r="B1881" s="55"/>
      <c r="AB1881" s="304"/>
      <c r="AC1881" s="304"/>
      <c r="AD1881" s="304"/>
      <c r="AE1881" s="304"/>
    </row>
    <row r="1882" spans="2:31" ht="12">
      <c r="B1882" s="55"/>
      <c r="AB1882" s="304"/>
      <c r="AC1882" s="304"/>
      <c r="AD1882" s="304"/>
      <c r="AE1882" s="304"/>
    </row>
    <row r="1883" spans="2:31" ht="12">
      <c r="B1883" s="55"/>
      <c r="AB1883" s="304"/>
      <c r="AC1883" s="304"/>
      <c r="AD1883" s="304"/>
      <c r="AE1883" s="304"/>
    </row>
    <row r="1884" spans="2:31" ht="12">
      <c r="B1884" s="55"/>
      <c r="AB1884" s="304"/>
      <c r="AC1884" s="304"/>
      <c r="AD1884" s="304"/>
      <c r="AE1884" s="304"/>
    </row>
    <row r="1885" spans="2:31" ht="12">
      <c r="B1885" s="55"/>
      <c r="AB1885" s="304"/>
      <c r="AC1885" s="304"/>
      <c r="AD1885" s="304"/>
      <c r="AE1885" s="304"/>
    </row>
    <row r="1886" spans="2:31" ht="12">
      <c r="B1886" s="55"/>
      <c r="AB1886" s="304"/>
      <c r="AC1886" s="304"/>
      <c r="AD1886" s="304"/>
      <c r="AE1886" s="304"/>
    </row>
    <row r="1887" spans="2:31" ht="12">
      <c r="B1887" s="55"/>
      <c r="AB1887" s="304"/>
      <c r="AC1887" s="304"/>
      <c r="AD1887" s="304"/>
      <c r="AE1887" s="304"/>
    </row>
    <row r="1888" spans="2:31" ht="12">
      <c r="B1888" s="55"/>
      <c r="AB1888" s="304"/>
      <c r="AC1888" s="304"/>
      <c r="AD1888" s="304"/>
      <c r="AE1888" s="304"/>
    </row>
    <row r="1889" spans="2:31" ht="12">
      <c r="B1889" s="55"/>
      <c r="AB1889" s="304"/>
      <c r="AC1889" s="304"/>
      <c r="AD1889" s="304"/>
      <c r="AE1889" s="304"/>
    </row>
    <row r="1890" spans="2:31" ht="12">
      <c r="B1890" s="55"/>
      <c r="AB1890" s="304"/>
      <c r="AC1890" s="304"/>
      <c r="AD1890" s="304"/>
      <c r="AE1890" s="304"/>
    </row>
    <row r="1891" spans="2:31" ht="12">
      <c r="B1891" s="55"/>
      <c r="AB1891" s="304"/>
      <c r="AC1891" s="304"/>
      <c r="AD1891" s="304"/>
      <c r="AE1891" s="304"/>
    </row>
    <row r="1892" spans="2:31" ht="12">
      <c r="B1892" s="55"/>
      <c r="AB1892" s="304"/>
      <c r="AC1892" s="304"/>
      <c r="AD1892" s="304"/>
      <c r="AE1892" s="304"/>
    </row>
    <row r="1893" spans="2:31" ht="12">
      <c r="B1893" s="55"/>
      <c r="AB1893" s="304"/>
      <c r="AC1893" s="304"/>
      <c r="AD1893" s="304"/>
      <c r="AE1893" s="304"/>
    </row>
    <row r="1894" spans="2:31" ht="12">
      <c r="B1894" s="55"/>
      <c r="AB1894" s="304"/>
      <c r="AC1894" s="304"/>
      <c r="AD1894" s="304"/>
      <c r="AE1894" s="304"/>
    </row>
    <row r="1895" spans="2:31" ht="12">
      <c r="B1895" s="55"/>
      <c r="AB1895" s="304"/>
      <c r="AC1895" s="304"/>
      <c r="AD1895" s="304"/>
      <c r="AE1895" s="304"/>
    </row>
    <row r="1896" spans="2:31" ht="12">
      <c r="B1896" s="55"/>
      <c r="AB1896" s="304"/>
      <c r="AC1896" s="304"/>
      <c r="AD1896" s="304"/>
      <c r="AE1896" s="304"/>
    </row>
    <row r="1897" spans="2:31" ht="12">
      <c r="B1897" s="55"/>
      <c r="AB1897" s="304"/>
      <c r="AC1897" s="304"/>
      <c r="AD1897" s="304"/>
      <c r="AE1897" s="304"/>
    </row>
    <row r="1898" spans="2:31" ht="12">
      <c r="B1898" s="55"/>
      <c r="AB1898" s="304"/>
      <c r="AC1898" s="304"/>
      <c r="AD1898" s="304"/>
      <c r="AE1898" s="304"/>
    </row>
    <row r="1899" spans="2:31" ht="12">
      <c r="B1899" s="55"/>
      <c r="AB1899" s="304"/>
      <c r="AC1899" s="304"/>
      <c r="AD1899" s="304"/>
      <c r="AE1899" s="304"/>
    </row>
    <row r="1900" spans="2:31" ht="12">
      <c r="B1900" s="55"/>
      <c r="AB1900" s="304"/>
      <c r="AC1900" s="304"/>
      <c r="AD1900" s="304"/>
      <c r="AE1900" s="304"/>
    </row>
    <row r="1901" spans="2:31" ht="12">
      <c r="B1901" s="55"/>
      <c r="AB1901" s="304"/>
      <c r="AC1901" s="304"/>
      <c r="AD1901" s="304"/>
      <c r="AE1901" s="304"/>
    </row>
    <row r="1902" spans="2:31" ht="12">
      <c r="B1902" s="55"/>
      <c r="AB1902" s="304"/>
      <c r="AC1902" s="304"/>
      <c r="AD1902" s="304"/>
      <c r="AE1902" s="304"/>
    </row>
    <row r="1903" spans="2:31" ht="12">
      <c r="B1903" s="55"/>
      <c r="AB1903" s="304"/>
      <c r="AC1903" s="304"/>
      <c r="AD1903" s="304"/>
      <c r="AE1903" s="304"/>
    </row>
    <row r="1904" spans="2:31" ht="12">
      <c r="B1904" s="55"/>
      <c r="AB1904" s="304"/>
      <c r="AC1904" s="304"/>
      <c r="AD1904" s="304"/>
      <c r="AE1904" s="304"/>
    </row>
    <row r="1905" spans="2:31" ht="12">
      <c r="B1905" s="55"/>
      <c r="AB1905" s="304"/>
      <c r="AC1905" s="304"/>
      <c r="AD1905" s="304"/>
      <c r="AE1905" s="304"/>
    </row>
    <row r="1906" spans="2:31" ht="12">
      <c r="B1906" s="55"/>
      <c r="AB1906" s="304"/>
      <c r="AC1906" s="304"/>
      <c r="AD1906" s="304"/>
      <c r="AE1906" s="304"/>
    </row>
    <row r="1907" spans="2:31" ht="12">
      <c r="B1907" s="55"/>
      <c r="AB1907" s="304"/>
      <c r="AC1907" s="304"/>
      <c r="AD1907" s="304"/>
      <c r="AE1907" s="304"/>
    </row>
    <row r="1908" spans="2:31" ht="12">
      <c r="B1908" s="55"/>
      <c r="AB1908" s="304"/>
      <c r="AC1908" s="304"/>
      <c r="AD1908" s="304"/>
      <c r="AE1908" s="304"/>
    </row>
    <row r="1909" spans="2:31" ht="12">
      <c r="B1909" s="55"/>
      <c r="AB1909" s="304"/>
      <c r="AC1909" s="304"/>
      <c r="AD1909" s="304"/>
      <c r="AE1909" s="304"/>
    </row>
    <row r="1910" spans="2:31" ht="12">
      <c r="B1910" s="55"/>
      <c r="AB1910" s="304"/>
      <c r="AC1910" s="304"/>
      <c r="AD1910" s="304"/>
      <c r="AE1910" s="304"/>
    </row>
    <row r="1911" spans="2:31" ht="12">
      <c r="B1911" s="55"/>
      <c r="AB1911" s="304"/>
      <c r="AC1911" s="304"/>
      <c r="AD1911" s="304"/>
      <c r="AE1911" s="304"/>
    </row>
    <row r="1912" spans="2:31" ht="12">
      <c r="B1912" s="55"/>
      <c r="AB1912" s="304"/>
      <c r="AC1912" s="304"/>
      <c r="AD1912" s="304"/>
      <c r="AE1912" s="304"/>
    </row>
    <row r="1913" spans="2:31" ht="12">
      <c r="B1913" s="55"/>
      <c r="AB1913" s="304"/>
      <c r="AC1913" s="304"/>
      <c r="AD1913" s="304"/>
      <c r="AE1913" s="304"/>
    </row>
    <row r="1914" spans="2:31" ht="12">
      <c r="B1914" s="55"/>
      <c r="AB1914" s="304"/>
      <c r="AC1914" s="304"/>
      <c r="AD1914" s="304"/>
      <c r="AE1914" s="304"/>
    </row>
    <row r="1915" spans="2:31" ht="12">
      <c r="B1915" s="55"/>
      <c r="AB1915" s="304"/>
      <c r="AC1915" s="304"/>
      <c r="AD1915" s="304"/>
      <c r="AE1915" s="304"/>
    </row>
    <row r="1916" spans="2:31" ht="12">
      <c r="B1916" s="55"/>
      <c r="AB1916" s="304"/>
      <c r="AC1916" s="304"/>
      <c r="AD1916" s="304"/>
      <c r="AE1916" s="304"/>
    </row>
    <row r="1917" spans="2:31" ht="12">
      <c r="B1917" s="55"/>
      <c r="AB1917" s="304"/>
      <c r="AC1917" s="304"/>
      <c r="AD1917" s="304"/>
      <c r="AE1917" s="304"/>
    </row>
    <row r="1918" spans="2:31" ht="12">
      <c r="B1918" s="55"/>
      <c r="AB1918" s="304"/>
      <c r="AC1918" s="304"/>
      <c r="AD1918" s="304"/>
      <c r="AE1918" s="304"/>
    </row>
    <row r="1919" spans="2:31" ht="12">
      <c r="B1919" s="55"/>
      <c r="AB1919" s="304"/>
      <c r="AC1919" s="304"/>
      <c r="AD1919" s="304"/>
      <c r="AE1919" s="304"/>
    </row>
    <row r="1920" spans="2:31" ht="12">
      <c r="B1920" s="55"/>
      <c r="AB1920" s="304"/>
      <c r="AC1920" s="304"/>
      <c r="AD1920" s="304"/>
      <c r="AE1920" s="304"/>
    </row>
    <row r="1921" spans="2:31" ht="12">
      <c r="B1921" s="55"/>
      <c r="AB1921" s="304"/>
      <c r="AC1921" s="304"/>
      <c r="AD1921" s="304"/>
      <c r="AE1921" s="304"/>
    </row>
    <row r="1922" spans="2:31" ht="12">
      <c r="B1922" s="55"/>
      <c r="AB1922" s="304"/>
      <c r="AC1922" s="304"/>
      <c r="AD1922" s="304"/>
      <c r="AE1922" s="304"/>
    </row>
    <row r="1923" spans="2:31" ht="12">
      <c r="B1923" s="55"/>
      <c r="AB1923" s="304"/>
      <c r="AC1923" s="304"/>
      <c r="AD1923" s="304"/>
      <c r="AE1923" s="304"/>
    </row>
    <row r="1924" spans="2:31" ht="12">
      <c r="B1924" s="55"/>
      <c r="AB1924" s="304"/>
      <c r="AC1924" s="304"/>
      <c r="AD1924" s="304"/>
      <c r="AE1924" s="304"/>
    </row>
    <row r="1925" spans="2:31" ht="12">
      <c r="B1925" s="55"/>
      <c r="AB1925" s="304"/>
      <c r="AC1925" s="304"/>
      <c r="AD1925" s="304"/>
      <c r="AE1925" s="304"/>
    </row>
    <row r="1926" spans="2:31" ht="12">
      <c r="B1926" s="55"/>
      <c r="AB1926" s="304"/>
      <c r="AC1926" s="304"/>
      <c r="AD1926" s="304"/>
      <c r="AE1926" s="304"/>
    </row>
    <row r="1927" spans="2:31" ht="12">
      <c r="B1927" s="55"/>
      <c r="AB1927" s="304"/>
      <c r="AC1927" s="304"/>
      <c r="AD1927" s="304"/>
      <c r="AE1927" s="304"/>
    </row>
    <row r="1928" spans="2:31" ht="12">
      <c r="B1928" s="55"/>
      <c r="AB1928" s="304"/>
      <c r="AC1928" s="304"/>
      <c r="AD1928" s="304"/>
      <c r="AE1928" s="304"/>
    </row>
    <row r="1929" spans="2:31" ht="12">
      <c r="B1929" s="55"/>
      <c r="AB1929" s="304"/>
      <c r="AC1929" s="304"/>
      <c r="AD1929" s="304"/>
      <c r="AE1929" s="304"/>
    </row>
    <row r="1930" spans="2:31" ht="12">
      <c r="B1930" s="55"/>
      <c r="AB1930" s="304"/>
      <c r="AC1930" s="304"/>
      <c r="AD1930" s="304"/>
      <c r="AE1930" s="304"/>
    </row>
    <row r="1931" spans="2:31" ht="12">
      <c r="B1931" s="55"/>
      <c r="AB1931" s="304"/>
      <c r="AC1931" s="304"/>
      <c r="AD1931" s="304"/>
      <c r="AE1931" s="304"/>
    </row>
    <row r="1932" spans="2:31" ht="12">
      <c r="B1932" s="55"/>
      <c r="AB1932" s="304"/>
      <c r="AC1932" s="304"/>
      <c r="AD1932" s="304"/>
      <c r="AE1932" s="304"/>
    </row>
    <row r="1933" spans="2:31" ht="12">
      <c r="B1933" s="55"/>
      <c r="AB1933" s="304"/>
      <c r="AC1933" s="304"/>
      <c r="AD1933" s="304"/>
      <c r="AE1933" s="304"/>
    </row>
    <row r="1934" spans="2:31" ht="12">
      <c r="B1934" s="55"/>
      <c r="AB1934" s="304"/>
      <c r="AC1934" s="304"/>
      <c r="AD1934" s="304"/>
      <c r="AE1934" s="304"/>
    </row>
    <row r="1935" spans="2:31" ht="12">
      <c r="B1935" s="55"/>
      <c r="AB1935" s="304"/>
      <c r="AC1935" s="304"/>
      <c r="AD1935" s="304"/>
      <c r="AE1935" s="304"/>
    </row>
    <row r="1936" spans="2:31" ht="12">
      <c r="B1936" s="55"/>
      <c r="AB1936" s="304"/>
      <c r="AC1936" s="304"/>
      <c r="AD1936" s="304"/>
      <c r="AE1936" s="304"/>
    </row>
    <row r="1937" spans="2:31" ht="12">
      <c r="B1937" s="55"/>
      <c r="AB1937" s="304"/>
      <c r="AC1937" s="304"/>
      <c r="AD1937" s="304"/>
      <c r="AE1937" s="304"/>
    </row>
    <row r="1938" spans="2:31" ht="12">
      <c r="B1938" s="55"/>
      <c r="AB1938" s="304"/>
      <c r="AC1938" s="304"/>
      <c r="AD1938" s="304"/>
      <c r="AE1938" s="304"/>
    </row>
    <row r="1939" spans="2:31" ht="12">
      <c r="B1939" s="55"/>
      <c r="AB1939" s="304"/>
      <c r="AC1939" s="304"/>
      <c r="AD1939" s="304"/>
      <c r="AE1939" s="304"/>
    </row>
    <row r="1940" spans="2:31" ht="12">
      <c r="B1940" s="55"/>
      <c r="AB1940" s="304"/>
      <c r="AC1940" s="304"/>
      <c r="AD1940" s="304"/>
      <c r="AE1940" s="304"/>
    </row>
    <row r="1941" spans="2:31" ht="12">
      <c r="B1941" s="55"/>
      <c r="AB1941" s="304"/>
      <c r="AC1941" s="304"/>
      <c r="AD1941" s="304"/>
      <c r="AE1941" s="304"/>
    </row>
    <row r="1942" spans="2:31" ht="12">
      <c r="B1942" s="55"/>
      <c r="AB1942" s="304"/>
      <c r="AC1942" s="304"/>
      <c r="AD1942" s="304"/>
      <c r="AE1942" s="304"/>
    </row>
    <row r="1943" spans="2:31" ht="12">
      <c r="B1943" s="55"/>
      <c r="AB1943" s="304"/>
      <c r="AC1943" s="304"/>
      <c r="AD1943" s="304"/>
      <c r="AE1943" s="304"/>
    </row>
    <row r="1944" spans="2:31" ht="12">
      <c r="B1944" s="55"/>
      <c r="AB1944" s="304"/>
      <c r="AC1944" s="304"/>
      <c r="AD1944" s="304"/>
      <c r="AE1944" s="304"/>
    </row>
    <row r="1945" spans="2:31" ht="12">
      <c r="B1945" s="55"/>
      <c r="AB1945" s="304"/>
      <c r="AC1945" s="304"/>
      <c r="AD1945" s="304"/>
      <c r="AE1945" s="304"/>
    </row>
    <row r="1946" spans="2:31" ht="12">
      <c r="B1946" s="55"/>
      <c r="AB1946" s="304"/>
      <c r="AC1946" s="304"/>
      <c r="AD1946" s="304"/>
      <c r="AE1946" s="304"/>
    </row>
    <row r="1947" spans="2:31" ht="12">
      <c r="B1947" s="55"/>
      <c r="AB1947" s="304"/>
      <c r="AC1947" s="304"/>
      <c r="AD1947" s="304"/>
      <c r="AE1947" s="304"/>
    </row>
    <row r="1948" spans="2:31" ht="12">
      <c r="B1948" s="55"/>
      <c r="AB1948" s="304"/>
      <c r="AC1948" s="304"/>
      <c r="AD1948" s="304"/>
      <c r="AE1948" s="304"/>
    </row>
    <row r="1949" spans="2:31" ht="12">
      <c r="B1949" s="55"/>
      <c r="AB1949" s="304"/>
      <c r="AC1949" s="304"/>
      <c r="AD1949" s="304"/>
      <c r="AE1949" s="304"/>
    </row>
    <row r="1950" spans="2:31" ht="12">
      <c r="B1950" s="55"/>
      <c r="AB1950" s="304"/>
      <c r="AC1950" s="304"/>
      <c r="AD1950" s="304"/>
      <c r="AE1950" s="304"/>
    </row>
    <row r="1951" spans="2:31" ht="12">
      <c r="B1951" s="55"/>
      <c r="AB1951" s="304"/>
      <c r="AC1951" s="304"/>
      <c r="AD1951" s="304"/>
      <c r="AE1951" s="304"/>
    </row>
    <row r="1952" spans="2:31" ht="12">
      <c r="B1952" s="55"/>
      <c r="AB1952" s="304"/>
      <c r="AC1952" s="304"/>
      <c r="AD1952" s="304"/>
      <c r="AE1952" s="304"/>
    </row>
    <row r="1953" spans="2:31" ht="12">
      <c r="B1953" s="55"/>
      <c r="AB1953" s="304"/>
      <c r="AC1953" s="304"/>
      <c r="AD1953" s="304"/>
      <c r="AE1953" s="304"/>
    </row>
    <row r="1954" spans="2:31" ht="12">
      <c r="B1954" s="55"/>
      <c r="AB1954" s="304"/>
      <c r="AC1954" s="304"/>
      <c r="AD1954" s="304"/>
      <c r="AE1954" s="304"/>
    </row>
    <row r="1955" spans="2:31" ht="12">
      <c r="B1955" s="55"/>
      <c r="AB1955" s="304"/>
      <c r="AC1955" s="304"/>
      <c r="AD1955" s="304"/>
      <c r="AE1955" s="304"/>
    </row>
    <row r="1956" spans="2:31" ht="12">
      <c r="B1956" s="55"/>
      <c r="AB1956" s="304"/>
      <c r="AC1956" s="304"/>
      <c r="AD1956" s="304"/>
      <c r="AE1956" s="304"/>
    </row>
    <row r="1957" spans="2:31" ht="12">
      <c r="B1957" s="55"/>
      <c r="AB1957" s="304"/>
      <c r="AC1957" s="304"/>
      <c r="AD1957" s="304"/>
      <c r="AE1957" s="304"/>
    </row>
    <row r="1958" spans="2:31" ht="12">
      <c r="B1958" s="55"/>
      <c r="AB1958" s="304"/>
      <c r="AC1958" s="304"/>
      <c r="AD1958" s="304"/>
      <c r="AE1958" s="304"/>
    </row>
    <row r="1959" spans="2:31" ht="12">
      <c r="B1959" s="55"/>
      <c r="AB1959" s="304"/>
      <c r="AC1959" s="304"/>
      <c r="AD1959" s="304"/>
      <c r="AE1959" s="304"/>
    </row>
    <row r="1960" spans="2:31" ht="12">
      <c r="B1960" s="55"/>
      <c r="AB1960" s="304"/>
      <c r="AC1960" s="304"/>
      <c r="AD1960" s="304"/>
      <c r="AE1960" s="304"/>
    </row>
    <row r="1961" spans="2:31" ht="12">
      <c r="B1961" s="55"/>
      <c r="AB1961" s="304"/>
      <c r="AC1961" s="304"/>
      <c r="AD1961" s="304"/>
      <c r="AE1961" s="304"/>
    </row>
    <row r="1962" spans="2:31" ht="12">
      <c r="B1962" s="55"/>
      <c r="AB1962" s="304"/>
      <c r="AC1962" s="304"/>
      <c r="AD1962" s="304"/>
      <c r="AE1962" s="304"/>
    </row>
    <row r="1963" spans="2:31" ht="12">
      <c r="B1963" s="55"/>
      <c r="AB1963" s="304"/>
      <c r="AC1963" s="304"/>
      <c r="AD1963" s="304"/>
      <c r="AE1963" s="304"/>
    </row>
    <row r="1964" spans="2:31" ht="12">
      <c r="B1964" s="55"/>
      <c r="AB1964" s="304"/>
      <c r="AC1964" s="304"/>
      <c r="AD1964" s="304"/>
      <c r="AE1964" s="304"/>
    </row>
    <row r="1965" spans="2:31" ht="12">
      <c r="B1965" s="55"/>
      <c r="AB1965" s="304"/>
      <c r="AC1965" s="304"/>
      <c r="AD1965" s="304"/>
      <c r="AE1965" s="304"/>
    </row>
    <row r="1966" spans="2:31" ht="12">
      <c r="B1966" s="55"/>
      <c r="AB1966" s="304"/>
      <c r="AC1966" s="304"/>
      <c r="AD1966" s="304"/>
      <c r="AE1966" s="304"/>
    </row>
    <row r="1967" spans="2:31" ht="12">
      <c r="B1967" s="55"/>
      <c r="AB1967" s="304"/>
      <c r="AC1967" s="304"/>
      <c r="AD1967" s="304"/>
      <c r="AE1967" s="304"/>
    </row>
    <row r="1968" spans="2:31" ht="12">
      <c r="B1968" s="55"/>
      <c r="AB1968" s="304"/>
      <c r="AC1968" s="304"/>
      <c r="AD1968" s="304"/>
      <c r="AE1968" s="304"/>
    </row>
    <row r="1969" spans="2:31" ht="12">
      <c r="B1969" s="55"/>
      <c r="AB1969" s="304"/>
      <c r="AC1969" s="304"/>
      <c r="AD1969" s="304"/>
      <c r="AE1969" s="304"/>
    </row>
    <row r="1970" spans="2:31" ht="12">
      <c r="B1970" s="55"/>
      <c r="AB1970" s="304"/>
      <c r="AC1970" s="304"/>
      <c r="AD1970" s="304"/>
      <c r="AE1970" s="304"/>
    </row>
    <row r="1971" spans="2:31" ht="12">
      <c r="B1971" s="55"/>
      <c r="AB1971" s="304"/>
      <c r="AC1971" s="304"/>
      <c r="AD1971" s="304"/>
      <c r="AE1971" s="304"/>
    </row>
    <row r="1972" spans="2:31" ht="12">
      <c r="B1972" s="55"/>
      <c r="AB1972" s="304"/>
      <c r="AC1972" s="304"/>
      <c r="AD1972" s="304"/>
      <c r="AE1972" s="304"/>
    </row>
    <row r="1973" spans="2:31" ht="12">
      <c r="B1973" s="55"/>
      <c r="AB1973" s="304"/>
      <c r="AC1973" s="304"/>
      <c r="AD1973" s="304"/>
      <c r="AE1973" s="304"/>
    </row>
    <row r="1974" spans="2:31" ht="12">
      <c r="B1974" s="55"/>
      <c r="AB1974" s="304"/>
      <c r="AC1974" s="304"/>
      <c r="AD1974" s="304"/>
      <c r="AE1974" s="304"/>
    </row>
    <row r="1975" spans="2:31" ht="12">
      <c r="B1975" s="55"/>
      <c r="AB1975" s="304"/>
      <c r="AC1975" s="304"/>
      <c r="AD1975" s="304"/>
      <c r="AE1975" s="304"/>
    </row>
    <row r="1976" spans="2:31" ht="12">
      <c r="B1976" s="55"/>
      <c r="AB1976" s="304"/>
      <c r="AC1976" s="304"/>
      <c r="AD1976" s="304"/>
      <c r="AE1976" s="304"/>
    </row>
    <row r="1977" spans="2:31" ht="12">
      <c r="B1977" s="55"/>
      <c r="AB1977" s="304"/>
      <c r="AC1977" s="304"/>
      <c r="AD1977" s="304"/>
      <c r="AE1977" s="304"/>
    </row>
    <row r="1978" spans="2:31" ht="12">
      <c r="B1978" s="55"/>
      <c r="AB1978" s="304"/>
      <c r="AC1978" s="304"/>
      <c r="AD1978" s="304"/>
      <c r="AE1978" s="304"/>
    </row>
    <row r="1979" spans="2:31" ht="12">
      <c r="B1979" s="55"/>
      <c r="AB1979" s="304"/>
      <c r="AC1979" s="304"/>
      <c r="AD1979" s="304"/>
      <c r="AE1979" s="304"/>
    </row>
    <row r="1980" spans="2:31" ht="12">
      <c r="B1980" s="55"/>
      <c r="AB1980" s="304"/>
      <c r="AC1980" s="304"/>
      <c r="AD1980" s="304"/>
      <c r="AE1980" s="304"/>
    </row>
    <row r="1981" spans="2:31" ht="12">
      <c r="B1981" s="55"/>
      <c r="AB1981" s="304"/>
      <c r="AC1981" s="304"/>
      <c r="AD1981" s="304"/>
      <c r="AE1981" s="304"/>
    </row>
    <row r="1982" spans="2:31" ht="12">
      <c r="B1982" s="55"/>
      <c r="AB1982" s="304"/>
      <c r="AC1982" s="304"/>
      <c r="AD1982" s="304"/>
      <c r="AE1982" s="304"/>
    </row>
    <row r="1983" spans="2:31" ht="12">
      <c r="B1983" s="55"/>
      <c r="AB1983" s="304"/>
      <c r="AC1983" s="304"/>
      <c r="AD1983" s="304"/>
      <c r="AE1983" s="304"/>
    </row>
    <row r="1984" spans="2:31" ht="12">
      <c r="B1984" s="55"/>
      <c r="AB1984" s="304"/>
      <c r="AC1984" s="304"/>
      <c r="AD1984" s="304"/>
      <c r="AE1984" s="304"/>
    </row>
    <row r="1985" spans="2:31" ht="12">
      <c r="B1985" s="55"/>
      <c r="AB1985" s="304"/>
      <c r="AC1985" s="304"/>
      <c r="AD1985" s="304"/>
      <c r="AE1985" s="304"/>
    </row>
    <row r="1986" spans="2:31" ht="12">
      <c r="B1986" s="55"/>
      <c r="AB1986" s="304"/>
      <c r="AC1986" s="304"/>
      <c r="AD1986" s="304"/>
      <c r="AE1986" s="304"/>
    </row>
    <row r="1987" spans="2:31" ht="12">
      <c r="B1987" s="55"/>
      <c r="AB1987" s="304"/>
      <c r="AC1987" s="304"/>
      <c r="AD1987" s="304"/>
      <c r="AE1987" s="304"/>
    </row>
    <row r="1988" spans="2:31" ht="12">
      <c r="B1988" s="55"/>
      <c r="AB1988" s="304"/>
      <c r="AC1988" s="304"/>
      <c r="AD1988" s="304"/>
      <c r="AE1988" s="304"/>
    </row>
    <row r="1989" spans="2:31" ht="12">
      <c r="B1989" s="55"/>
      <c r="AB1989" s="304"/>
      <c r="AC1989" s="304"/>
      <c r="AD1989" s="304"/>
      <c r="AE1989" s="304"/>
    </row>
    <row r="1990" spans="2:31" ht="12">
      <c r="B1990" s="55"/>
      <c r="AB1990" s="304"/>
      <c r="AC1990" s="304"/>
      <c r="AD1990" s="304"/>
      <c r="AE1990" s="304"/>
    </row>
    <row r="1991" spans="2:31" ht="12">
      <c r="B1991" s="55"/>
      <c r="AB1991" s="304"/>
      <c r="AC1991" s="304"/>
      <c r="AD1991" s="304"/>
      <c r="AE1991" s="304"/>
    </row>
    <row r="1992" spans="2:31" ht="12">
      <c r="B1992" s="55"/>
      <c r="AB1992" s="304"/>
      <c r="AC1992" s="304"/>
      <c r="AD1992" s="304"/>
      <c r="AE1992" s="304"/>
    </row>
    <row r="1993" spans="2:31" ht="12">
      <c r="B1993" s="55"/>
      <c r="AB1993" s="304"/>
      <c r="AC1993" s="304"/>
      <c r="AD1993" s="304"/>
      <c r="AE1993" s="304"/>
    </row>
    <row r="1994" spans="2:31" ht="12">
      <c r="B1994" s="55"/>
      <c r="AB1994" s="304"/>
      <c r="AC1994" s="304"/>
      <c r="AD1994" s="304"/>
      <c r="AE1994" s="304"/>
    </row>
    <row r="1995" spans="2:31" ht="12">
      <c r="B1995" s="55"/>
      <c r="AB1995" s="304"/>
      <c r="AC1995" s="304"/>
      <c r="AD1995" s="304"/>
      <c r="AE1995" s="304"/>
    </row>
    <row r="1996" spans="2:31" ht="12">
      <c r="B1996" s="55"/>
      <c r="AB1996" s="304"/>
      <c r="AC1996" s="304"/>
      <c r="AD1996" s="304"/>
      <c r="AE1996" s="304"/>
    </row>
    <row r="1997" spans="2:31" ht="12">
      <c r="B1997" s="55"/>
      <c r="AB1997" s="304"/>
      <c r="AC1997" s="304"/>
      <c r="AD1997" s="304"/>
      <c r="AE1997" s="304"/>
    </row>
    <row r="1998" spans="2:31" ht="12">
      <c r="B1998" s="55"/>
      <c r="AB1998" s="304"/>
      <c r="AC1998" s="304"/>
      <c r="AD1998" s="304"/>
      <c r="AE1998" s="304"/>
    </row>
    <row r="1999" spans="2:31" ht="12">
      <c r="B1999" s="55"/>
      <c r="AB1999" s="304"/>
      <c r="AC1999" s="304"/>
      <c r="AD1999" s="304"/>
      <c r="AE1999" s="304"/>
    </row>
    <row r="2000" spans="2:31" ht="12">
      <c r="B2000" s="55"/>
      <c r="AB2000" s="304"/>
      <c r="AC2000" s="304"/>
      <c r="AD2000" s="304"/>
      <c r="AE2000" s="304"/>
    </row>
    <row r="2001" spans="2:31" ht="12">
      <c r="B2001" s="55"/>
      <c r="AB2001" s="304"/>
      <c r="AC2001" s="304"/>
      <c r="AD2001" s="304"/>
      <c r="AE2001" s="304"/>
    </row>
    <row r="2002" spans="2:31" ht="12">
      <c r="B2002" s="55"/>
      <c r="AB2002" s="304"/>
      <c r="AC2002" s="304"/>
      <c r="AD2002" s="304"/>
      <c r="AE2002" s="304"/>
    </row>
    <row r="2003" spans="2:31" ht="12">
      <c r="B2003" s="55"/>
      <c r="AB2003" s="304"/>
      <c r="AC2003" s="304"/>
      <c r="AD2003" s="304"/>
      <c r="AE2003" s="304"/>
    </row>
    <row r="2004" spans="2:31" ht="12">
      <c r="B2004" s="55"/>
      <c r="AB2004" s="304"/>
      <c r="AC2004" s="304"/>
      <c r="AD2004" s="304"/>
      <c r="AE2004" s="304"/>
    </row>
    <row r="2005" spans="2:31" ht="12">
      <c r="B2005" s="55"/>
      <c r="AB2005" s="304"/>
      <c r="AC2005" s="304"/>
      <c r="AD2005" s="304"/>
      <c r="AE2005" s="304"/>
    </row>
    <row r="2006" spans="2:31" ht="12">
      <c r="B2006" s="55"/>
      <c r="AB2006" s="304"/>
      <c r="AC2006" s="304"/>
      <c r="AD2006" s="304"/>
      <c r="AE2006" s="304"/>
    </row>
    <row r="2007" spans="2:31" ht="12">
      <c r="B2007" s="55"/>
      <c r="AB2007" s="304"/>
      <c r="AC2007" s="304"/>
      <c r="AD2007" s="304"/>
      <c r="AE2007" s="304"/>
    </row>
    <row r="2008" spans="2:31" ht="12">
      <c r="B2008" s="55"/>
      <c r="AB2008" s="304"/>
      <c r="AC2008" s="304"/>
      <c r="AD2008" s="304"/>
      <c r="AE2008" s="304"/>
    </row>
    <row r="2009" spans="2:31" ht="12">
      <c r="B2009" s="55"/>
      <c r="AB2009" s="304"/>
      <c r="AC2009" s="304"/>
      <c r="AD2009" s="304"/>
      <c r="AE2009" s="304"/>
    </row>
    <row r="2010" spans="2:31" ht="12">
      <c r="B2010" s="55"/>
      <c r="AB2010" s="304"/>
      <c r="AC2010" s="304"/>
      <c r="AD2010" s="304"/>
      <c r="AE2010" s="304"/>
    </row>
    <row r="2011" spans="2:31" ht="12">
      <c r="B2011" s="55"/>
      <c r="AB2011" s="304"/>
      <c r="AC2011" s="304"/>
      <c r="AD2011" s="304"/>
      <c r="AE2011" s="304"/>
    </row>
    <row r="2012" spans="2:31" ht="12">
      <c r="B2012" s="55"/>
      <c r="AB2012" s="304"/>
      <c r="AC2012" s="304"/>
      <c r="AD2012" s="304"/>
      <c r="AE2012" s="304"/>
    </row>
    <row r="2013" spans="2:31" ht="12">
      <c r="B2013" s="55"/>
      <c r="AB2013" s="304"/>
      <c r="AC2013" s="304"/>
      <c r="AD2013" s="304"/>
      <c r="AE2013" s="304"/>
    </row>
    <row r="2014" spans="2:31" ht="12">
      <c r="B2014" s="55"/>
      <c r="AB2014" s="304"/>
      <c r="AC2014" s="304"/>
      <c r="AD2014" s="304"/>
      <c r="AE2014" s="304"/>
    </row>
    <row r="2015" spans="2:31" ht="12">
      <c r="B2015" s="55"/>
      <c r="AB2015" s="304"/>
      <c r="AC2015" s="304"/>
      <c r="AD2015" s="304"/>
      <c r="AE2015" s="304"/>
    </row>
    <row r="2016" spans="2:31" ht="12">
      <c r="B2016" s="55"/>
      <c r="AB2016" s="304"/>
      <c r="AC2016" s="304"/>
      <c r="AD2016" s="304"/>
      <c r="AE2016" s="304"/>
    </row>
    <row r="2017" spans="2:31" ht="12">
      <c r="B2017" s="55"/>
      <c r="AB2017" s="304"/>
      <c r="AC2017" s="304"/>
      <c r="AD2017" s="304"/>
      <c r="AE2017" s="304"/>
    </row>
    <row r="2018" spans="2:31" ht="12">
      <c r="B2018" s="55"/>
      <c r="AB2018" s="304"/>
      <c r="AC2018" s="304"/>
      <c r="AD2018" s="304"/>
      <c r="AE2018" s="304"/>
    </row>
    <row r="2019" spans="2:31" ht="12">
      <c r="B2019" s="55"/>
      <c r="AB2019" s="304"/>
      <c r="AC2019" s="304"/>
      <c r="AD2019" s="304"/>
      <c r="AE2019" s="304"/>
    </row>
    <row r="2020" spans="2:31" ht="12">
      <c r="B2020" s="55"/>
      <c r="AB2020" s="304"/>
      <c r="AC2020" s="304"/>
      <c r="AD2020" s="304"/>
      <c r="AE2020" s="304"/>
    </row>
    <row r="2021" spans="2:31" ht="12">
      <c r="B2021" s="55"/>
      <c r="AB2021" s="304"/>
      <c r="AC2021" s="304"/>
      <c r="AD2021" s="304"/>
      <c r="AE2021" s="304"/>
    </row>
    <row r="2022" spans="2:31" ht="12">
      <c r="B2022" s="55"/>
      <c r="AB2022" s="304"/>
      <c r="AC2022" s="304"/>
      <c r="AD2022" s="304"/>
      <c r="AE2022" s="304"/>
    </row>
    <row r="2023" spans="2:31" ht="12">
      <c r="B2023" s="55"/>
      <c r="AB2023" s="304"/>
      <c r="AC2023" s="304"/>
      <c r="AD2023" s="304"/>
      <c r="AE2023" s="304"/>
    </row>
    <row r="2024" spans="2:31" ht="12">
      <c r="B2024" s="55"/>
      <c r="AB2024" s="304"/>
      <c r="AC2024" s="304"/>
      <c r="AD2024" s="304"/>
      <c r="AE2024" s="304"/>
    </row>
    <row r="2025" spans="2:31" ht="12">
      <c r="B2025" s="55"/>
      <c r="AB2025" s="304"/>
      <c r="AC2025" s="304"/>
      <c r="AD2025" s="304"/>
      <c r="AE2025" s="304"/>
    </row>
    <row r="2026" spans="2:31" ht="12">
      <c r="B2026" s="55"/>
      <c r="AB2026" s="304"/>
      <c r="AC2026" s="304"/>
      <c r="AD2026" s="304"/>
      <c r="AE2026" s="304"/>
    </row>
    <row r="2027" spans="2:31" ht="12">
      <c r="B2027" s="55"/>
      <c r="AB2027" s="304"/>
      <c r="AC2027" s="304"/>
      <c r="AD2027" s="304"/>
      <c r="AE2027" s="304"/>
    </row>
    <row r="2028" spans="2:31" ht="12">
      <c r="B2028" s="55"/>
      <c r="AB2028" s="304"/>
      <c r="AC2028" s="304"/>
      <c r="AD2028" s="304"/>
      <c r="AE2028" s="304"/>
    </row>
    <row r="2029" spans="2:31" ht="12">
      <c r="B2029" s="55"/>
      <c r="AB2029" s="304"/>
      <c r="AC2029" s="304"/>
      <c r="AD2029" s="304"/>
      <c r="AE2029" s="304"/>
    </row>
    <row r="2030" spans="2:31" ht="12">
      <c r="B2030" s="55"/>
      <c r="AB2030" s="304"/>
      <c r="AC2030" s="304"/>
      <c r="AD2030" s="304"/>
      <c r="AE2030" s="304"/>
    </row>
    <row r="2031" spans="2:31" ht="12">
      <c r="B2031" s="55"/>
      <c r="AB2031" s="304"/>
      <c r="AC2031" s="304"/>
      <c r="AD2031" s="304"/>
      <c r="AE2031" s="304"/>
    </row>
    <row r="2032" spans="2:31" ht="12">
      <c r="B2032" s="55"/>
      <c r="AB2032" s="304"/>
      <c r="AC2032" s="304"/>
      <c r="AD2032" s="304"/>
      <c r="AE2032" s="304"/>
    </row>
    <row r="2033" spans="2:31" ht="12">
      <c r="B2033" s="55"/>
      <c r="AB2033" s="304"/>
      <c r="AC2033" s="304"/>
      <c r="AD2033" s="304"/>
      <c r="AE2033" s="304"/>
    </row>
    <row r="2034" spans="2:31" ht="12">
      <c r="B2034" s="55"/>
      <c r="AB2034" s="304"/>
      <c r="AC2034" s="304"/>
      <c r="AD2034" s="304"/>
      <c r="AE2034" s="304"/>
    </row>
    <row r="2035" spans="2:31" ht="12">
      <c r="B2035" s="55"/>
      <c r="AB2035" s="304"/>
      <c r="AC2035" s="304"/>
      <c r="AD2035" s="304"/>
      <c r="AE2035" s="304"/>
    </row>
    <row r="2036" spans="2:31" ht="12">
      <c r="B2036" s="55"/>
      <c r="AB2036" s="304"/>
      <c r="AC2036" s="304"/>
      <c r="AD2036" s="304"/>
      <c r="AE2036" s="304"/>
    </row>
    <row r="2037" spans="2:31" ht="12">
      <c r="B2037" s="55"/>
      <c r="AB2037" s="304"/>
      <c r="AC2037" s="304"/>
      <c r="AD2037" s="304"/>
      <c r="AE2037" s="304"/>
    </row>
    <row r="2038" spans="2:31" ht="12">
      <c r="B2038" s="55"/>
      <c r="AB2038" s="304"/>
      <c r="AC2038" s="304"/>
      <c r="AD2038" s="304"/>
      <c r="AE2038" s="304"/>
    </row>
    <row r="2039" spans="2:31" ht="12">
      <c r="B2039" s="55"/>
      <c r="AB2039" s="304"/>
      <c r="AC2039" s="304"/>
      <c r="AD2039" s="304"/>
      <c r="AE2039" s="304"/>
    </row>
    <row r="2040" spans="2:31" ht="12">
      <c r="B2040" s="55"/>
      <c r="AB2040" s="304"/>
      <c r="AC2040" s="304"/>
      <c r="AD2040" s="304"/>
      <c r="AE2040" s="304"/>
    </row>
    <row r="2041" spans="2:31" ht="12">
      <c r="B2041" s="55"/>
      <c r="AB2041" s="304"/>
      <c r="AC2041" s="304"/>
      <c r="AD2041" s="304"/>
      <c r="AE2041" s="304"/>
    </row>
    <row r="2042" spans="2:31" ht="12">
      <c r="B2042" s="55"/>
      <c r="AB2042" s="304"/>
      <c r="AC2042" s="304"/>
      <c r="AD2042" s="304"/>
      <c r="AE2042" s="304"/>
    </row>
    <row r="2043" spans="2:31" ht="12">
      <c r="B2043" s="55"/>
      <c r="AB2043" s="304"/>
      <c r="AC2043" s="304"/>
      <c r="AD2043" s="304"/>
      <c r="AE2043" s="304"/>
    </row>
    <row r="2044" spans="2:31" ht="12">
      <c r="B2044" s="55"/>
      <c r="AB2044" s="304"/>
      <c r="AC2044" s="304"/>
      <c r="AD2044" s="304"/>
      <c r="AE2044" s="304"/>
    </row>
    <row r="2045" spans="2:31" ht="12">
      <c r="B2045" s="55"/>
      <c r="AB2045" s="304"/>
      <c r="AC2045" s="304"/>
      <c r="AD2045" s="304"/>
      <c r="AE2045" s="304"/>
    </row>
    <row r="2046" spans="2:31" ht="12">
      <c r="B2046" s="55"/>
      <c r="AB2046" s="304"/>
      <c r="AC2046" s="304"/>
      <c r="AD2046" s="304"/>
      <c r="AE2046" s="304"/>
    </row>
    <row r="2047" spans="2:31" ht="12">
      <c r="B2047" s="55"/>
      <c r="AB2047" s="304"/>
      <c r="AC2047" s="304"/>
      <c r="AD2047" s="304"/>
      <c r="AE2047" s="304"/>
    </row>
    <row r="2048" spans="2:31" ht="12">
      <c r="B2048" s="55"/>
      <c r="AB2048" s="304"/>
      <c r="AC2048" s="304"/>
      <c r="AD2048" s="304"/>
      <c r="AE2048" s="304"/>
    </row>
    <row r="2049" spans="2:31" ht="12">
      <c r="B2049" s="55"/>
      <c r="AB2049" s="304"/>
      <c r="AC2049" s="304"/>
      <c r="AD2049" s="304"/>
      <c r="AE2049" s="304"/>
    </row>
    <row r="2050" spans="2:31" ht="12">
      <c r="B2050" s="55"/>
      <c r="AB2050" s="304"/>
      <c r="AC2050" s="304"/>
      <c r="AD2050" s="304"/>
      <c r="AE2050" s="304"/>
    </row>
    <row r="2051" spans="2:31" ht="12">
      <c r="B2051" s="55"/>
      <c r="AB2051" s="304"/>
      <c r="AC2051" s="304"/>
      <c r="AD2051" s="304"/>
      <c r="AE2051" s="304"/>
    </row>
    <row r="2052" spans="2:31" ht="12">
      <c r="B2052" s="55"/>
      <c r="AB2052" s="304"/>
      <c r="AC2052" s="304"/>
      <c r="AD2052" s="304"/>
      <c r="AE2052" s="304"/>
    </row>
    <row r="2053" spans="2:31" ht="12">
      <c r="B2053" s="55"/>
      <c r="AB2053" s="304"/>
      <c r="AC2053" s="304"/>
      <c r="AD2053" s="304"/>
      <c r="AE2053" s="304"/>
    </row>
    <row r="2054" spans="2:31" ht="12">
      <c r="B2054" s="55"/>
      <c r="AB2054" s="304"/>
      <c r="AC2054" s="304"/>
      <c r="AD2054" s="304"/>
      <c r="AE2054" s="304"/>
    </row>
    <row r="2055" spans="2:31" ht="12">
      <c r="B2055" s="55"/>
      <c r="AB2055" s="304"/>
      <c r="AC2055" s="304"/>
      <c r="AD2055" s="304"/>
      <c r="AE2055" s="304"/>
    </row>
    <row r="2056" spans="2:31" ht="12">
      <c r="B2056" s="55"/>
      <c r="AB2056" s="304"/>
      <c r="AC2056" s="304"/>
      <c r="AD2056" s="304"/>
      <c r="AE2056" s="304"/>
    </row>
    <row r="2057" spans="2:31" ht="12">
      <c r="B2057" s="55"/>
      <c r="AB2057" s="304"/>
      <c r="AC2057" s="304"/>
      <c r="AD2057" s="304"/>
      <c r="AE2057" s="304"/>
    </row>
    <row r="2058" spans="2:31" ht="12">
      <c r="B2058" s="55"/>
      <c r="AB2058" s="304"/>
      <c r="AC2058" s="304"/>
      <c r="AD2058" s="304"/>
      <c r="AE2058" s="304"/>
    </row>
    <row r="2059" spans="2:31" ht="12">
      <c r="B2059" s="55"/>
      <c r="AB2059" s="304"/>
      <c r="AC2059" s="304"/>
      <c r="AD2059" s="304"/>
      <c r="AE2059" s="304"/>
    </row>
    <row r="2060" spans="2:31" ht="12">
      <c r="B2060" s="55"/>
      <c r="AB2060" s="304"/>
      <c r="AC2060" s="304"/>
      <c r="AD2060" s="304"/>
      <c r="AE2060" s="304"/>
    </row>
    <row r="2061" spans="2:31" ht="12">
      <c r="B2061" s="55"/>
      <c r="AB2061" s="304"/>
      <c r="AC2061" s="304"/>
      <c r="AD2061" s="304"/>
      <c r="AE2061" s="304"/>
    </row>
    <row r="2062" spans="2:31" ht="12">
      <c r="B2062" s="55"/>
      <c r="AB2062" s="304"/>
      <c r="AC2062" s="304"/>
      <c r="AD2062" s="304"/>
      <c r="AE2062" s="304"/>
    </row>
    <row r="2063" spans="2:31" ht="12">
      <c r="B2063" s="55"/>
      <c r="AB2063" s="304"/>
      <c r="AC2063" s="304"/>
      <c r="AD2063" s="304"/>
      <c r="AE2063" s="304"/>
    </row>
    <row r="2064" spans="2:31" ht="12">
      <c r="B2064" s="55"/>
      <c r="AB2064" s="304"/>
      <c r="AC2064" s="304"/>
      <c r="AD2064" s="304"/>
      <c r="AE2064" s="304"/>
    </row>
    <row r="2065" spans="2:31" ht="12">
      <c r="B2065" s="55"/>
      <c r="AB2065" s="304"/>
      <c r="AC2065" s="304"/>
      <c r="AD2065" s="304"/>
      <c r="AE2065" s="304"/>
    </row>
    <row r="2066" spans="2:31" ht="12">
      <c r="B2066" s="55"/>
      <c r="AB2066" s="304"/>
      <c r="AC2066" s="304"/>
      <c r="AD2066" s="304"/>
      <c r="AE2066" s="304"/>
    </row>
    <row r="2067" spans="2:31" ht="12">
      <c r="B2067" s="55"/>
      <c r="AB2067" s="304"/>
      <c r="AC2067" s="304"/>
      <c r="AD2067" s="304"/>
      <c r="AE2067" s="304"/>
    </row>
    <row r="2068" spans="2:31" ht="12">
      <c r="B2068" s="55"/>
      <c r="AB2068" s="304"/>
      <c r="AC2068" s="304"/>
      <c r="AD2068" s="304"/>
      <c r="AE2068" s="304"/>
    </row>
    <row r="2069" spans="2:31" ht="12">
      <c r="B2069" s="55"/>
      <c r="AB2069" s="304"/>
      <c r="AC2069" s="304"/>
      <c r="AD2069" s="304"/>
      <c r="AE2069" s="304"/>
    </row>
    <row r="2070" spans="2:31" ht="12">
      <c r="B2070" s="55"/>
      <c r="AB2070" s="304"/>
      <c r="AC2070" s="304"/>
      <c r="AD2070" s="304"/>
      <c r="AE2070" s="304"/>
    </row>
    <row r="2071" spans="2:31" ht="12">
      <c r="B2071" s="55"/>
      <c r="AB2071" s="304"/>
      <c r="AC2071" s="304"/>
      <c r="AD2071" s="304"/>
      <c r="AE2071" s="304"/>
    </row>
    <row r="2072" spans="2:31" ht="12">
      <c r="B2072" s="55"/>
      <c r="AB2072" s="304"/>
      <c r="AC2072" s="304"/>
      <c r="AD2072" s="304"/>
      <c r="AE2072" s="304"/>
    </row>
    <row r="2073" spans="2:31" ht="12">
      <c r="B2073" s="55"/>
      <c r="AB2073" s="304"/>
      <c r="AC2073" s="304"/>
      <c r="AD2073" s="304"/>
      <c r="AE2073" s="304"/>
    </row>
    <row r="2074" spans="2:31" ht="12">
      <c r="B2074" s="55"/>
      <c r="AB2074" s="304"/>
      <c r="AC2074" s="304"/>
      <c r="AD2074" s="304"/>
      <c r="AE2074" s="304"/>
    </row>
    <row r="2075" spans="2:31" ht="12">
      <c r="B2075" s="55"/>
      <c r="AB2075" s="304"/>
      <c r="AC2075" s="304"/>
      <c r="AD2075" s="304"/>
      <c r="AE2075" s="304"/>
    </row>
    <row r="2076" spans="2:31" ht="12">
      <c r="B2076" s="55"/>
      <c r="AB2076" s="304"/>
      <c r="AC2076" s="304"/>
      <c r="AD2076" s="304"/>
      <c r="AE2076" s="304"/>
    </row>
    <row r="2077" spans="2:31" ht="12">
      <c r="B2077" s="55"/>
      <c r="AB2077" s="304"/>
      <c r="AC2077" s="304"/>
      <c r="AD2077" s="304"/>
      <c r="AE2077" s="304"/>
    </row>
    <row r="2078" spans="2:31" ht="12">
      <c r="B2078" s="55"/>
      <c r="AB2078" s="304"/>
      <c r="AC2078" s="304"/>
      <c r="AD2078" s="304"/>
      <c r="AE2078" s="304"/>
    </row>
    <row r="2079" spans="2:31" ht="12">
      <c r="B2079" s="55"/>
      <c r="AB2079" s="304"/>
      <c r="AC2079" s="304"/>
      <c r="AD2079" s="304"/>
      <c r="AE2079" s="304"/>
    </row>
    <row r="2080" spans="2:31" ht="12">
      <c r="B2080" s="55"/>
      <c r="AB2080" s="304"/>
      <c r="AC2080" s="304"/>
      <c r="AD2080" s="304"/>
      <c r="AE2080" s="304"/>
    </row>
    <row r="2081" spans="2:31" ht="12">
      <c r="B2081" s="55"/>
      <c r="AB2081" s="304"/>
      <c r="AC2081" s="304"/>
      <c r="AD2081" s="304"/>
      <c r="AE2081" s="304"/>
    </row>
    <row r="2082" spans="2:31" ht="12">
      <c r="B2082" s="55"/>
      <c r="AB2082" s="304"/>
      <c r="AC2082" s="304"/>
      <c r="AD2082" s="304"/>
      <c r="AE2082" s="304"/>
    </row>
    <row r="2083" spans="2:31" ht="12">
      <c r="B2083" s="55"/>
      <c r="AB2083" s="304"/>
      <c r="AC2083" s="304"/>
      <c r="AD2083" s="304"/>
      <c r="AE2083" s="304"/>
    </row>
    <row r="2084" spans="2:31" ht="12">
      <c r="B2084" s="55"/>
      <c r="AB2084" s="304"/>
      <c r="AC2084" s="304"/>
      <c r="AD2084" s="304"/>
      <c r="AE2084" s="304"/>
    </row>
    <row r="2085" spans="2:31" ht="12">
      <c r="B2085" s="55"/>
      <c r="AB2085" s="304"/>
      <c r="AC2085" s="304"/>
      <c r="AD2085" s="304"/>
      <c r="AE2085" s="304"/>
    </row>
    <row r="2086" spans="2:31" ht="12">
      <c r="B2086" s="55"/>
      <c r="AB2086" s="304"/>
      <c r="AC2086" s="304"/>
      <c r="AD2086" s="304"/>
      <c r="AE2086" s="304"/>
    </row>
    <row r="2087" spans="2:31" ht="12">
      <c r="B2087" s="55"/>
      <c r="AB2087" s="304"/>
      <c r="AC2087" s="304"/>
      <c r="AD2087" s="304"/>
      <c r="AE2087" s="304"/>
    </row>
    <row r="2088" spans="2:31" ht="12">
      <c r="B2088" s="55"/>
      <c r="AB2088" s="304"/>
      <c r="AC2088" s="304"/>
      <c r="AD2088" s="304"/>
      <c r="AE2088" s="304"/>
    </row>
    <row r="2089" spans="2:31" ht="12">
      <c r="B2089" s="55"/>
      <c r="AB2089" s="304"/>
      <c r="AC2089" s="304"/>
      <c r="AD2089" s="304"/>
      <c r="AE2089" s="304"/>
    </row>
    <row r="2090" spans="2:31" ht="12">
      <c r="B2090" s="55"/>
      <c r="AB2090" s="304"/>
      <c r="AC2090" s="304"/>
      <c r="AD2090" s="304"/>
      <c r="AE2090" s="304"/>
    </row>
    <row r="2091" spans="2:31" ht="12">
      <c r="B2091" s="55"/>
      <c r="AB2091" s="304"/>
      <c r="AC2091" s="304"/>
      <c r="AD2091" s="304"/>
      <c r="AE2091" s="304"/>
    </row>
    <row r="2092" spans="2:31" ht="12">
      <c r="B2092" s="55"/>
      <c r="AB2092" s="304"/>
      <c r="AC2092" s="304"/>
      <c r="AD2092" s="304"/>
      <c r="AE2092" s="304"/>
    </row>
    <row r="2093" spans="2:31" ht="12">
      <c r="B2093" s="55"/>
      <c r="AB2093" s="304"/>
      <c r="AC2093" s="304"/>
      <c r="AD2093" s="304"/>
      <c r="AE2093" s="304"/>
    </row>
    <row r="2094" spans="2:31" ht="12">
      <c r="B2094" s="55"/>
      <c r="AB2094" s="304"/>
      <c r="AC2094" s="304"/>
      <c r="AD2094" s="304"/>
      <c r="AE2094" s="304"/>
    </row>
    <row r="2095" spans="2:31" ht="12">
      <c r="B2095" s="55"/>
      <c r="AB2095" s="304"/>
      <c r="AC2095" s="304"/>
      <c r="AD2095" s="304"/>
      <c r="AE2095" s="304"/>
    </row>
    <row r="2096" spans="2:31" ht="12">
      <c r="B2096" s="55"/>
      <c r="AB2096" s="304"/>
      <c r="AC2096" s="304"/>
      <c r="AD2096" s="304"/>
      <c r="AE2096" s="304"/>
    </row>
    <row r="2097" spans="2:31" ht="12">
      <c r="B2097" s="55"/>
      <c r="AB2097" s="304"/>
      <c r="AC2097" s="304"/>
      <c r="AD2097" s="304"/>
      <c r="AE2097" s="304"/>
    </row>
    <row r="2098" spans="2:31" ht="12">
      <c r="B2098" s="55"/>
      <c r="AB2098" s="304"/>
      <c r="AC2098" s="304"/>
      <c r="AD2098" s="304"/>
      <c r="AE2098" s="304"/>
    </row>
    <row r="2099" spans="2:31" ht="12">
      <c r="B2099" s="55"/>
      <c r="AB2099" s="304"/>
      <c r="AC2099" s="304"/>
      <c r="AD2099" s="304"/>
      <c r="AE2099" s="304"/>
    </row>
    <row r="2100" spans="2:31" ht="12">
      <c r="B2100" s="55"/>
      <c r="AB2100" s="304"/>
      <c r="AC2100" s="304"/>
      <c r="AD2100" s="304"/>
      <c r="AE2100" s="304"/>
    </row>
    <row r="2101" spans="2:31" ht="12">
      <c r="B2101" s="55"/>
      <c r="AB2101" s="304"/>
      <c r="AC2101" s="304"/>
      <c r="AD2101" s="304"/>
      <c r="AE2101" s="304"/>
    </row>
    <row r="2102" spans="2:31" ht="12">
      <c r="B2102" s="55"/>
      <c r="AB2102" s="304"/>
      <c r="AC2102" s="304"/>
      <c r="AD2102" s="304"/>
      <c r="AE2102" s="304"/>
    </row>
    <row r="2103" spans="2:31" ht="12">
      <c r="B2103" s="55"/>
      <c r="AB2103" s="304"/>
      <c r="AC2103" s="304"/>
      <c r="AD2103" s="304"/>
      <c r="AE2103" s="304"/>
    </row>
    <row r="2104" spans="2:31" ht="12">
      <c r="B2104" s="55"/>
      <c r="AB2104" s="304"/>
      <c r="AC2104" s="304"/>
      <c r="AD2104" s="304"/>
      <c r="AE2104" s="304"/>
    </row>
    <row r="2105" spans="2:31" ht="12">
      <c r="B2105" s="55"/>
      <c r="AB2105" s="304"/>
      <c r="AC2105" s="304"/>
      <c r="AD2105" s="304"/>
      <c r="AE2105" s="304"/>
    </row>
    <row r="2106" spans="2:31" ht="12">
      <c r="B2106" s="55"/>
      <c r="AB2106" s="304"/>
      <c r="AC2106" s="304"/>
      <c r="AD2106" s="304"/>
      <c r="AE2106" s="304"/>
    </row>
    <row r="2107" spans="2:31" ht="12">
      <c r="B2107" s="55"/>
      <c r="AB2107" s="304"/>
      <c r="AC2107" s="304"/>
      <c r="AD2107" s="304"/>
      <c r="AE2107" s="304"/>
    </row>
    <row r="2108" spans="2:31" ht="12">
      <c r="B2108" s="55"/>
      <c r="AB2108" s="304"/>
      <c r="AC2108" s="304"/>
      <c r="AD2108" s="304"/>
      <c r="AE2108" s="304"/>
    </row>
    <row r="2109" spans="2:31" ht="12">
      <c r="B2109" s="55"/>
      <c r="AB2109" s="304"/>
      <c r="AC2109" s="304"/>
      <c r="AD2109" s="304"/>
      <c r="AE2109" s="304"/>
    </row>
    <row r="2110" spans="2:31" ht="12">
      <c r="B2110" s="55"/>
      <c r="AB2110" s="304"/>
      <c r="AC2110" s="304"/>
      <c r="AD2110" s="304"/>
      <c r="AE2110" s="304"/>
    </row>
    <row r="2111" spans="2:31" ht="12">
      <c r="B2111" s="55"/>
      <c r="AB2111" s="304"/>
      <c r="AC2111" s="304"/>
      <c r="AD2111" s="304"/>
      <c r="AE2111" s="304"/>
    </row>
    <row r="2112" spans="2:31" ht="12">
      <c r="B2112" s="55"/>
      <c r="AB2112" s="304"/>
      <c r="AC2112" s="304"/>
      <c r="AD2112" s="304"/>
      <c r="AE2112" s="304"/>
    </row>
    <row r="2113" spans="2:31" ht="12">
      <c r="B2113" s="55"/>
      <c r="AB2113" s="304"/>
      <c r="AC2113" s="304"/>
      <c r="AD2113" s="304"/>
      <c r="AE2113" s="304"/>
    </row>
    <row r="2114" spans="2:31" ht="12">
      <c r="B2114" s="55"/>
      <c r="AB2114" s="304"/>
      <c r="AC2114" s="304"/>
      <c r="AD2114" s="304"/>
      <c r="AE2114" s="304"/>
    </row>
    <row r="2115" spans="2:31" ht="12">
      <c r="B2115" s="55"/>
      <c r="AB2115" s="304"/>
      <c r="AC2115" s="304"/>
      <c r="AD2115" s="304"/>
      <c r="AE2115" s="304"/>
    </row>
    <row r="2116" spans="2:31" ht="12">
      <c r="B2116" s="55"/>
      <c r="AB2116" s="304"/>
      <c r="AC2116" s="304"/>
      <c r="AD2116" s="304"/>
      <c r="AE2116" s="304"/>
    </row>
    <row r="2117" spans="2:31" ht="12">
      <c r="B2117" s="55"/>
      <c r="AB2117" s="304"/>
      <c r="AC2117" s="304"/>
      <c r="AD2117" s="304"/>
      <c r="AE2117" s="304"/>
    </row>
    <row r="2118" spans="2:31" ht="12">
      <c r="B2118" s="55"/>
      <c r="AB2118" s="304"/>
      <c r="AC2118" s="304"/>
      <c r="AD2118" s="304"/>
      <c r="AE2118" s="304"/>
    </row>
    <row r="2119" spans="2:31" ht="12">
      <c r="B2119" s="55"/>
      <c r="AB2119" s="304"/>
      <c r="AC2119" s="304"/>
      <c r="AD2119" s="304"/>
      <c r="AE2119" s="304"/>
    </row>
    <row r="2120" spans="2:31" ht="12">
      <c r="B2120" s="55"/>
      <c r="AB2120" s="304"/>
      <c r="AC2120" s="304"/>
      <c r="AD2120" s="304"/>
      <c r="AE2120" s="304"/>
    </row>
    <row r="2121" spans="2:31" ht="12">
      <c r="B2121" s="55"/>
      <c r="AB2121" s="304"/>
      <c r="AC2121" s="304"/>
      <c r="AD2121" s="304"/>
      <c r="AE2121" s="304"/>
    </row>
    <row r="2122" spans="2:31" ht="12">
      <c r="B2122" s="55"/>
      <c r="AB2122" s="304"/>
      <c r="AC2122" s="304"/>
      <c r="AD2122" s="304"/>
      <c r="AE2122" s="304"/>
    </row>
    <row r="2123" spans="2:31" ht="12">
      <c r="B2123" s="55"/>
      <c r="AB2123" s="304"/>
      <c r="AC2123" s="304"/>
      <c r="AD2123" s="304"/>
      <c r="AE2123" s="304"/>
    </row>
    <row r="2124" spans="2:31" ht="12">
      <c r="B2124" s="55"/>
      <c r="AB2124" s="304"/>
      <c r="AC2124" s="304"/>
      <c r="AD2124" s="304"/>
      <c r="AE2124" s="304"/>
    </row>
    <row r="2125" spans="2:31" ht="12">
      <c r="B2125" s="55"/>
      <c r="AB2125" s="304"/>
      <c r="AC2125" s="304"/>
      <c r="AD2125" s="304"/>
      <c r="AE2125" s="304"/>
    </row>
    <row r="2126" spans="2:31" ht="12">
      <c r="B2126" s="55"/>
      <c r="AB2126" s="304"/>
      <c r="AC2126" s="304"/>
      <c r="AD2126" s="304"/>
      <c r="AE2126" s="304"/>
    </row>
    <row r="2127" spans="2:31" ht="12">
      <c r="B2127" s="55"/>
      <c r="AB2127" s="304"/>
      <c r="AC2127" s="304"/>
      <c r="AD2127" s="304"/>
      <c r="AE2127" s="304"/>
    </row>
    <row r="2128" spans="2:31" ht="12">
      <c r="B2128" s="55"/>
      <c r="AB2128" s="304"/>
      <c r="AC2128" s="304"/>
      <c r="AD2128" s="304"/>
      <c r="AE2128" s="304"/>
    </row>
    <row r="2129" spans="2:31" ht="12">
      <c r="B2129" s="55"/>
      <c r="AB2129" s="304"/>
      <c r="AC2129" s="304"/>
      <c r="AD2129" s="304"/>
      <c r="AE2129" s="304"/>
    </row>
    <row r="2130" spans="2:31" ht="12">
      <c r="B2130" s="55"/>
      <c r="AB2130" s="304"/>
      <c r="AC2130" s="304"/>
      <c r="AD2130" s="304"/>
      <c r="AE2130" s="304"/>
    </row>
    <row r="2131" spans="2:31" ht="12">
      <c r="B2131" s="55"/>
      <c r="AB2131" s="304"/>
      <c r="AC2131" s="304"/>
      <c r="AD2131" s="304"/>
      <c r="AE2131" s="304"/>
    </row>
    <row r="2132" spans="2:31" ht="12">
      <c r="B2132" s="55"/>
      <c r="AB2132" s="304"/>
      <c r="AC2132" s="304"/>
      <c r="AD2132" s="304"/>
      <c r="AE2132" s="304"/>
    </row>
    <row r="2133" spans="2:31" ht="12">
      <c r="B2133" s="55"/>
      <c r="AB2133" s="304"/>
      <c r="AC2133" s="304"/>
      <c r="AD2133" s="304"/>
      <c r="AE2133" s="304"/>
    </row>
    <row r="2134" spans="2:31" ht="12">
      <c r="B2134" s="55"/>
      <c r="AB2134" s="304"/>
      <c r="AC2134" s="304"/>
      <c r="AD2134" s="304"/>
      <c r="AE2134" s="304"/>
    </row>
    <row r="2135" spans="2:31" ht="12">
      <c r="B2135" s="55"/>
      <c r="AB2135" s="304"/>
      <c r="AC2135" s="304"/>
      <c r="AD2135" s="304"/>
      <c r="AE2135" s="304"/>
    </row>
    <row r="2136" spans="2:31" ht="12">
      <c r="B2136" s="55"/>
      <c r="AB2136" s="304"/>
      <c r="AC2136" s="304"/>
      <c r="AD2136" s="304"/>
      <c r="AE2136" s="304"/>
    </row>
    <row r="2137" spans="2:31" ht="12">
      <c r="B2137" s="55"/>
      <c r="AB2137" s="304"/>
      <c r="AC2137" s="304"/>
      <c r="AD2137" s="304"/>
      <c r="AE2137" s="304"/>
    </row>
    <row r="2138" spans="2:31" ht="12">
      <c r="B2138" s="55"/>
      <c r="AB2138" s="304"/>
      <c r="AC2138" s="304"/>
      <c r="AD2138" s="304"/>
      <c r="AE2138" s="304"/>
    </row>
    <row r="2139" spans="2:31" ht="12">
      <c r="B2139" s="55"/>
      <c r="AB2139" s="304"/>
      <c r="AC2139" s="304"/>
      <c r="AD2139" s="304"/>
      <c r="AE2139" s="304"/>
    </row>
    <row r="2140" spans="2:31" ht="12">
      <c r="B2140" s="55"/>
      <c r="AB2140" s="304"/>
      <c r="AC2140" s="304"/>
      <c r="AD2140" s="304"/>
      <c r="AE2140" s="304"/>
    </row>
    <row r="2141" spans="2:31" ht="12">
      <c r="B2141" s="55"/>
      <c r="AB2141" s="304"/>
      <c r="AC2141" s="304"/>
      <c r="AD2141" s="304"/>
      <c r="AE2141" s="304"/>
    </row>
    <row r="2142" spans="2:31" ht="12">
      <c r="B2142" s="55"/>
      <c r="AB2142" s="304"/>
      <c r="AC2142" s="304"/>
      <c r="AD2142" s="304"/>
      <c r="AE2142" s="304"/>
    </row>
    <row r="2143" spans="2:31" ht="12">
      <c r="B2143" s="55"/>
      <c r="AB2143" s="304"/>
      <c r="AC2143" s="304"/>
      <c r="AD2143" s="304"/>
      <c r="AE2143" s="304"/>
    </row>
    <row r="2144" spans="2:31" ht="12">
      <c r="B2144" s="55"/>
      <c r="AB2144" s="304"/>
      <c r="AC2144" s="304"/>
      <c r="AD2144" s="304"/>
      <c r="AE2144" s="304"/>
    </row>
    <row r="2145" spans="2:31" ht="12">
      <c r="B2145" s="55"/>
      <c r="AB2145" s="304"/>
      <c r="AC2145" s="304"/>
      <c r="AD2145" s="304"/>
      <c r="AE2145" s="304"/>
    </row>
    <row r="2146" spans="2:31" ht="12">
      <c r="B2146" s="55"/>
      <c r="AB2146" s="304"/>
      <c r="AC2146" s="304"/>
      <c r="AD2146" s="304"/>
      <c r="AE2146" s="304"/>
    </row>
    <row r="2147" spans="2:31" ht="12">
      <c r="B2147" s="55"/>
      <c r="AB2147" s="304"/>
      <c r="AC2147" s="304"/>
      <c r="AD2147" s="304"/>
      <c r="AE2147" s="304"/>
    </row>
    <row r="2148" spans="2:31" ht="12">
      <c r="B2148" s="55"/>
      <c r="AB2148" s="304"/>
      <c r="AC2148" s="304"/>
      <c r="AD2148" s="304"/>
      <c r="AE2148" s="304"/>
    </row>
    <row r="2149" spans="2:31" ht="12">
      <c r="B2149" s="55"/>
      <c r="AB2149" s="304"/>
      <c r="AC2149" s="304"/>
      <c r="AD2149" s="304"/>
      <c r="AE2149" s="304"/>
    </row>
    <row r="2150" spans="2:31" ht="12">
      <c r="B2150" s="55"/>
      <c r="AB2150" s="304"/>
      <c r="AC2150" s="304"/>
      <c r="AD2150" s="304"/>
      <c r="AE2150" s="304"/>
    </row>
    <row r="2151" spans="2:31" ht="12">
      <c r="B2151" s="55"/>
      <c r="AB2151" s="304"/>
      <c r="AC2151" s="304"/>
      <c r="AD2151" s="304"/>
      <c r="AE2151" s="304"/>
    </row>
    <row r="2152" spans="2:31" ht="12">
      <c r="B2152" s="55"/>
      <c r="AB2152" s="304"/>
      <c r="AC2152" s="304"/>
      <c r="AD2152" s="304"/>
      <c r="AE2152" s="304"/>
    </row>
    <row r="2153" spans="2:31" ht="12">
      <c r="B2153" s="55"/>
      <c r="AB2153" s="304"/>
      <c r="AC2153" s="304"/>
      <c r="AD2153" s="304"/>
      <c r="AE2153" s="304"/>
    </row>
    <row r="2154" spans="2:31" ht="12">
      <c r="B2154" s="55"/>
      <c r="AB2154" s="304"/>
      <c r="AC2154" s="304"/>
      <c r="AD2154" s="304"/>
      <c r="AE2154" s="304"/>
    </row>
    <row r="2155" spans="2:31" ht="12">
      <c r="B2155" s="55"/>
      <c r="AB2155" s="304"/>
      <c r="AC2155" s="304"/>
      <c r="AD2155" s="304"/>
      <c r="AE2155" s="304"/>
    </row>
    <row r="2156" spans="2:31" ht="12">
      <c r="B2156" s="55"/>
      <c r="AB2156" s="304"/>
      <c r="AC2156" s="304"/>
      <c r="AD2156" s="304"/>
      <c r="AE2156" s="304"/>
    </row>
    <row r="2157" spans="2:31" ht="12">
      <c r="B2157" s="55"/>
      <c r="AB2157" s="304"/>
      <c r="AC2157" s="304"/>
      <c r="AD2157" s="304"/>
      <c r="AE2157" s="304"/>
    </row>
    <row r="2158" spans="2:31" ht="12">
      <c r="B2158" s="55"/>
      <c r="AB2158" s="304"/>
      <c r="AC2158" s="304"/>
      <c r="AD2158" s="304"/>
      <c r="AE2158" s="304"/>
    </row>
    <row r="2159" spans="2:31" ht="12">
      <c r="B2159" s="55"/>
      <c r="AB2159" s="304"/>
      <c r="AC2159" s="304"/>
      <c r="AD2159" s="304"/>
      <c r="AE2159" s="304"/>
    </row>
    <row r="2160" spans="2:31" ht="12">
      <c r="B2160" s="55"/>
      <c r="AB2160" s="304"/>
      <c r="AC2160" s="304"/>
      <c r="AD2160" s="304"/>
      <c r="AE2160" s="304"/>
    </row>
    <row r="2161" spans="2:31" ht="12">
      <c r="B2161" s="55"/>
      <c r="AB2161" s="304"/>
      <c r="AC2161" s="304"/>
      <c r="AD2161" s="304"/>
      <c r="AE2161" s="304"/>
    </row>
    <row r="2162" spans="2:31" ht="12">
      <c r="B2162" s="55"/>
      <c r="AB2162" s="304"/>
      <c r="AC2162" s="304"/>
      <c r="AD2162" s="304"/>
      <c r="AE2162" s="304"/>
    </row>
    <row r="2163" spans="2:31" ht="12">
      <c r="B2163" s="55"/>
      <c r="AB2163" s="304"/>
      <c r="AC2163" s="304"/>
      <c r="AD2163" s="304"/>
      <c r="AE2163" s="304"/>
    </row>
    <row r="2164" spans="2:31" ht="12">
      <c r="B2164" s="55"/>
      <c r="AB2164" s="304"/>
      <c r="AC2164" s="304"/>
      <c r="AD2164" s="304"/>
      <c r="AE2164" s="304"/>
    </row>
    <row r="2165" spans="2:31" ht="12">
      <c r="B2165" s="55"/>
      <c r="AB2165" s="304"/>
      <c r="AC2165" s="304"/>
      <c r="AD2165" s="304"/>
      <c r="AE2165" s="304"/>
    </row>
    <row r="2166" spans="2:31" ht="12">
      <c r="B2166" s="55"/>
      <c r="AB2166" s="304"/>
      <c r="AC2166" s="304"/>
      <c r="AD2166" s="304"/>
      <c r="AE2166" s="304"/>
    </row>
    <row r="2167" spans="2:31" ht="12">
      <c r="B2167" s="55"/>
      <c r="AB2167" s="304"/>
      <c r="AC2167" s="304"/>
      <c r="AD2167" s="304"/>
      <c r="AE2167" s="304"/>
    </row>
    <row r="2168" spans="2:31" ht="12">
      <c r="B2168" s="55"/>
      <c r="AB2168" s="304"/>
      <c r="AC2168" s="304"/>
      <c r="AD2168" s="304"/>
      <c r="AE2168" s="304"/>
    </row>
    <row r="2169" spans="2:31" ht="12">
      <c r="B2169" s="55"/>
      <c r="AB2169" s="304"/>
      <c r="AC2169" s="304"/>
      <c r="AD2169" s="304"/>
      <c r="AE2169" s="304"/>
    </row>
    <row r="2170" spans="2:31" ht="12">
      <c r="B2170" s="55"/>
      <c r="AB2170" s="304"/>
      <c r="AC2170" s="304"/>
      <c r="AD2170" s="304"/>
      <c r="AE2170" s="304"/>
    </row>
    <row r="2171" spans="2:31" ht="12">
      <c r="B2171" s="55"/>
      <c r="AB2171" s="304"/>
      <c r="AC2171" s="304"/>
      <c r="AD2171" s="304"/>
      <c r="AE2171" s="304"/>
    </row>
    <row r="2172" spans="2:31" ht="12">
      <c r="B2172" s="55"/>
      <c r="AB2172" s="304"/>
      <c r="AC2172" s="304"/>
      <c r="AD2172" s="304"/>
      <c r="AE2172" s="304"/>
    </row>
    <row r="2173" spans="2:31" ht="12">
      <c r="B2173" s="55"/>
      <c r="AB2173" s="304"/>
      <c r="AC2173" s="304"/>
      <c r="AD2173" s="304"/>
      <c r="AE2173" s="304"/>
    </row>
    <row r="2174" spans="2:31" ht="12">
      <c r="B2174" s="55"/>
      <c r="AB2174" s="304"/>
      <c r="AC2174" s="304"/>
      <c r="AD2174" s="304"/>
      <c r="AE2174" s="304"/>
    </row>
    <row r="2175" spans="2:31" ht="12">
      <c r="B2175" s="55"/>
      <c r="AB2175" s="304"/>
      <c r="AC2175" s="304"/>
      <c r="AD2175" s="304"/>
      <c r="AE2175" s="304"/>
    </row>
    <row r="2176" spans="2:31" ht="12">
      <c r="B2176" s="55"/>
      <c r="AB2176" s="304"/>
      <c r="AC2176" s="304"/>
      <c r="AD2176" s="304"/>
      <c r="AE2176" s="304"/>
    </row>
    <row r="2177" spans="2:31" ht="12">
      <c r="B2177" s="55"/>
      <c r="AB2177" s="304"/>
      <c r="AC2177" s="304"/>
      <c r="AD2177" s="304"/>
      <c r="AE2177" s="304"/>
    </row>
    <row r="2178" spans="2:31" ht="12">
      <c r="B2178" s="55"/>
      <c r="AB2178" s="304"/>
      <c r="AC2178" s="304"/>
      <c r="AD2178" s="304"/>
      <c r="AE2178" s="304"/>
    </row>
    <row r="2179" spans="2:31" ht="12">
      <c r="B2179" s="55"/>
      <c r="AB2179" s="304"/>
      <c r="AC2179" s="304"/>
      <c r="AD2179" s="304"/>
      <c r="AE2179" s="304"/>
    </row>
    <row r="2180" spans="2:31" ht="12">
      <c r="B2180" s="55"/>
      <c r="AB2180" s="304"/>
      <c r="AC2180" s="304"/>
      <c r="AD2180" s="304"/>
      <c r="AE2180" s="304"/>
    </row>
    <row r="2181" spans="2:31" ht="12">
      <c r="B2181" s="55"/>
      <c r="AB2181" s="304"/>
      <c r="AC2181" s="304"/>
      <c r="AD2181" s="304"/>
      <c r="AE2181" s="304"/>
    </row>
    <row r="2182" spans="2:31" ht="12">
      <c r="B2182" s="55"/>
      <c r="AB2182" s="304"/>
      <c r="AC2182" s="304"/>
      <c r="AD2182" s="304"/>
      <c r="AE2182" s="304"/>
    </row>
    <row r="2183" spans="2:31" ht="12">
      <c r="B2183" s="55"/>
      <c r="AB2183" s="304"/>
      <c r="AC2183" s="304"/>
      <c r="AD2183" s="304"/>
      <c r="AE2183" s="304"/>
    </row>
    <row r="2184" spans="2:31" ht="12">
      <c r="B2184" s="55"/>
      <c r="AB2184" s="304"/>
      <c r="AC2184" s="304"/>
      <c r="AD2184" s="304"/>
      <c r="AE2184" s="304"/>
    </row>
    <row r="2185" spans="2:31" ht="12">
      <c r="B2185" s="55"/>
      <c r="AB2185" s="304"/>
      <c r="AC2185" s="304"/>
      <c r="AD2185" s="304"/>
      <c r="AE2185" s="304"/>
    </row>
    <row r="2186" spans="2:31" ht="12">
      <c r="B2186" s="55"/>
      <c r="AB2186" s="304"/>
      <c r="AC2186" s="304"/>
      <c r="AD2186" s="304"/>
      <c r="AE2186" s="304"/>
    </row>
    <row r="2187" spans="2:31" ht="12">
      <c r="B2187" s="55"/>
      <c r="AB2187" s="304"/>
      <c r="AC2187" s="304"/>
      <c r="AD2187" s="304"/>
      <c r="AE2187" s="304"/>
    </row>
    <row r="2188" spans="2:31" ht="12">
      <c r="B2188" s="55"/>
      <c r="AB2188" s="304"/>
      <c r="AC2188" s="304"/>
      <c r="AD2188" s="304"/>
      <c r="AE2188" s="304"/>
    </row>
    <row r="2189" spans="2:31" ht="12">
      <c r="B2189" s="55"/>
      <c r="AB2189" s="304"/>
      <c r="AC2189" s="304"/>
      <c r="AD2189" s="304"/>
      <c r="AE2189" s="304"/>
    </row>
    <row r="2190" spans="2:31" ht="12">
      <c r="B2190" s="55"/>
      <c r="AB2190" s="304"/>
      <c r="AC2190" s="304"/>
      <c r="AD2190" s="304"/>
      <c r="AE2190" s="304"/>
    </row>
    <row r="2191" spans="2:31" ht="12">
      <c r="B2191" s="55"/>
      <c r="AB2191" s="304"/>
      <c r="AC2191" s="304"/>
      <c r="AD2191" s="304"/>
      <c r="AE2191" s="304"/>
    </row>
    <row r="2192" spans="2:31" ht="12">
      <c r="B2192" s="55"/>
      <c r="AB2192" s="304"/>
      <c r="AC2192" s="304"/>
      <c r="AD2192" s="304"/>
      <c r="AE2192" s="304"/>
    </row>
    <row r="2193" spans="2:31" ht="12">
      <c r="B2193" s="55"/>
      <c r="AB2193" s="304"/>
      <c r="AC2193" s="304"/>
      <c r="AD2193" s="304"/>
      <c r="AE2193" s="304"/>
    </row>
    <row r="2194" spans="2:31" ht="12">
      <c r="B2194" s="55"/>
      <c r="AB2194" s="304"/>
      <c r="AC2194" s="304"/>
      <c r="AD2194" s="304"/>
      <c r="AE2194" s="304"/>
    </row>
    <row r="2195" spans="2:31" ht="12">
      <c r="B2195" s="55"/>
      <c r="AB2195" s="304"/>
      <c r="AC2195" s="304"/>
      <c r="AD2195" s="304"/>
      <c r="AE2195" s="304"/>
    </row>
    <row r="2196" spans="2:31" ht="12">
      <c r="B2196" s="55"/>
      <c r="AB2196" s="304"/>
      <c r="AC2196" s="304"/>
      <c r="AD2196" s="304"/>
      <c r="AE2196" s="304"/>
    </row>
    <row r="2197" spans="2:31" ht="12">
      <c r="B2197" s="55"/>
      <c r="AB2197" s="304"/>
      <c r="AC2197" s="304"/>
      <c r="AD2197" s="304"/>
      <c r="AE2197" s="304"/>
    </row>
    <row r="2198" spans="2:31" ht="12">
      <c r="B2198" s="55"/>
      <c r="AB2198" s="304"/>
      <c r="AC2198" s="304"/>
      <c r="AD2198" s="304"/>
      <c r="AE2198" s="304"/>
    </row>
    <row r="2199" spans="2:31" ht="12">
      <c r="B2199" s="55"/>
      <c r="AB2199" s="304"/>
      <c r="AC2199" s="304"/>
      <c r="AD2199" s="304"/>
      <c r="AE2199" s="304"/>
    </row>
    <row r="2200" spans="2:31" ht="12">
      <c r="B2200" s="55"/>
      <c r="AB2200" s="304"/>
      <c r="AC2200" s="304"/>
      <c r="AD2200" s="304"/>
      <c r="AE2200" s="304"/>
    </row>
    <row r="2201" spans="2:31" ht="12">
      <c r="B2201" s="55"/>
      <c r="AB2201" s="304"/>
      <c r="AC2201" s="304"/>
      <c r="AD2201" s="304"/>
      <c r="AE2201" s="304"/>
    </row>
    <row r="2202" spans="2:31" ht="12">
      <c r="B2202" s="55"/>
      <c r="AB2202" s="304"/>
      <c r="AC2202" s="304"/>
      <c r="AD2202" s="304"/>
      <c r="AE2202" s="304"/>
    </row>
    <row r="2203" spans="2:31" ht="12">
      <c r="B2203" s="55"/>
      <c r="AB2203" s="304"/>
      <c r="AC2203" s="304"/>
      <c r="AD2203" s="304"/>
      <c r="AE2203" s="304"/>
    </row>
    <row r="2204" spans="2:31" ht="12">
      <c r="B2204" s="55"/>
      <c r="AB2204" s="304"/>
      <c r="AC2204" s="304"/>
      <c r="AD2204" s="304"/>
      <c r="AE2204" s="304"/>
    </row>
    <row r="2205" spans="2:31" ht="12">
      <c r="B2205" s="55"/>
      <c r="AB2205" s="304"/>
      <c r="AC2205" s="304"/>
      <c r="AD2205" s="304"/>
      <c r="AE2205" s="304"/>
    </row>
    <row r="2206" spans="2:31" ht="12">
      <c r="B2206" s="55"/>
      <c r="AB2206" s="304"/>
      <c r="AC2206" s="304"/>
      <c r="AD2206" s="304"/>
      <c r="AE2206" s="304"/>
    </row>
    <row r="2207" spans="2:31" ht="12">
      <c r="B2207" s="55"/>
      <c r="AB2207" s="304"/>
      <c r="AC2207" s="304"/>
      <c r="AD2207" s="304"/>
      <c r="AE2207" s="304"/>
    </row>
    <row r="2208" spans="2:31" ht="12">
      <c r="B2208" s="55"/>
      <c r="AB2208" s="304"/>
      <c r="AC2208" s="304"/>
      <c r="AD2208" s="304"/>
      <c r="AE2208" s="304"/>
    </row>
    <row r="2209" spans="2:31" ht="12">
      <c r="B2209" s="55"/>
      <c r="AB2209" s="304"/>
      <c r="AC2209" s="304"/>
      <c r="AD2209" s="304"/>
      <c r="AE2209" s="304"/>
    </row>
    <row r="2210" spans="2:31" ht="12">
      <c r="B2210" s="55"/>
      <c r="AB2210" s="304"/>
      <c r="AC2210" s="304"/>
      <c r="AD2210" s="304"/>
      <c r="AE2210" s="304"/>
    </row>
    <row r="2211" spans="2:31" ht="12">
      <c r="B2211" s="55"/>
      <c r="AB2211" s="304"/>
      <c r="AC2211" s="304"/>
      <c r="AD2211" s="304"/>
      <c r="AE2211" s="304"/>
    </row>
    <row r="2212" spans="2:31" ht="12">
      <c r="B2212" s="55"/>
      <c r="AB2212" s="304"/>
      <c r="AC2212" s="304"/>
      <c r="AD2212" s="304"/>
      <c r="AE2212" s="304"/>
    </row>
    <row r="2213" spans="2:31" ht="12">
      <c r="B2213" s="55"/>
      <c r="AB2213" s="304"/>
      <c r="AC2213" s="304"/>
      <c r="AD2213" s="304"/>
      <c r="AE2213" s="304"/>
    </row>
    <row r="2214" spans="2:31" ht="12">
      <c r="B2214" s="55"/>
      <c r="AB2214" s="304"/>
      <c r="AC2214" s="304"/>
      <c r="AD2214" s="304"/>
      <c r="AE2214" s="304"/>
    </row>
    <row r="2215" spans="2:31" ht="12">
      <c r="B2215" s="55"/>
      <c r="AB2215" s="304"/>
      <c r="AC2215" s="304"/>
      <c r="AD2215" s="304"/>
      <c r="AE2215" s="304"/>
    </row>
    <row r="2216" spans="2:31" ht="12">
      <c r="B2216" s="55"/>
      <c r="AB2216" s="304"/>
      <c r="AC2216" s="304"/>
      <c r="AD2216" s="304"/>
      <c r="AE2216" s="304"/>
    </row>
    <row r="2217" spans="2:31" ht="12">
      <c r="B2217" s="55"/>
      <c r="AB2217" s="304"/>
      <c r="AC2217" s="304"/>
      <c r="AD2217" s="304"/>
      <c r="AE2217" s="304"/>
    </row>
    <row r="2218" spans="2:31" ht="12">
      <c r="B2218" s="55"/>
      <c r="AB2218" s="304"/>
      <c r="AC2218" s="304"/>
      <c r="AD2218" s="304"/>
      <c r="AE2218" s="304"/>
    </row>
    <row r="2219" spans="2:31" ht="12">
      <c r="B2219" s="55"/>
      <c r="AB2219" s="304"/>
      <c r="AC2219" s="304"/>
      <c r="AD2219" s="304"/>
      <c r="AE2219" s="304"/>
    </row>
    <row r="2220" spans="2:31" ht="12">
      <c r="B2220" s="55"/>
      <c r="AB2220" s="304"/>
      <c r="AC2220" s="304"/>
      <c r="AD2220" s="304"/>
      <c r="AE2220" s="304"/>
    </row>
    <row r="2221" spans="2:31" ht="12">
      <c r="B2221" s="55"/>
      <c r="AB2221" s="304"/>
      <c r="AC2221" s="304"/>
      <c r="AD2221" s="304"/>
      <c r="AE2221" s="304"/>
    </row>
    <row r="2222" spans="2:31" ht="12">
      <c r="B2222" s="55"/>
      <c r="AB2222" s="304"/>
      <c r="AC2222" s="304"/>
      <c r="AD2222" s="304"/>
      <c r="AE2222" s="304"/>
    </row>
    <row r="2223" spans="2:31" ht="12">
      <c r="B2223" s="55"/>
      <c r="AB2223" s="304"/>
      <c r="AC2223" s="304"/>
      <c r="AD2223" s="304"/>
      <c r="AE2223" s="304"/>
    </row>
    <row r="2224" spans="2:31" ht="12">
      <c r="B2224" s="55"/>
      <c r="AB2224" s="304"/>
      <c r="AC2224" s="304"/>
      <c r="AD2224" s="304"/>
      <c r="AE2224" s="304"/>
    </row>
    <row r="2225" spans="2:31" ht="12">
      <c r="B2225" s="55"/>
      <c r="AB2225" s="304"/>
      <c r="AC2225" s="304"/>
      <c r="AD2225" s="304"/>
      <c r="AE2225" s="304"/>
    </row>
    <row r="2226" spans="2:31" ht="12">
      <c r="B2226" s="55"/>
      <c r="AB2226" s="304"/>
      <c r="AC2226" s="304"/>
      <c r="AD2226" s="304"/>
      <c r="AE2226" s="304"/>
    </row>
    <row r="2227" spans="2:31" ht="12">
      <c r="B2227" s="55"/>
      <c r="AB2227" s="304"/>
      <c r="AC2227" s="304"/>
      <c r="AD2227" s="304"/>
      <c r="AE2227" s="304"/>
    </row>
    <row r="2228" spans="2:31" ht="12">
      <c r="B2228" s="55"/>
      <c r="AB2228" s="304"/>
      <c r="AC2228" s="304"/>
      <c r="AD2228" s="304"/>
      <c r="AE2228" s="304"/>
    </row>
    <row r="2229" spans="2:31" ht="12">
      <c r="B2229" s="55"/>
      <c r="AB2229" s="304"/>
      <c r="AC2229" s="304"/>
      <c r="AD2229" s="304"/>
      <c r="AE2229" s="304"/>
    </row>
    <row r="2230" spans="2:31" ht="12">
      <c r="B2230" s="55"/>
      <c r="AB2230" s="304"/>
      <c r="AC2230" s="304"/>
      <c r="AD2230" s="304"/>
      <c r="AE2230" s="304"/>
    </row>
    <row r="2231" spans="2:31" ht="12">
      <c r="B2231" s="55"/>
      <c r="AB2231" s="304"/>
      <c r="AC2231" s="304"/>
      <c r="AD2231" s="304"/>
      <c r="AE2231" s="304"/>
    </row>
    <row r="2232" spans="2:31" ht="12">
      <c r="B2232" s="55"/>
      <c r="AB2232" s="304"/>
      <c r="AC2232" s="304"/>
      <c r="AD2232" s="304"/>
      <c r="AE2232" s="304"/>
    </row>
    <row r="2233" spans="2:31" ht="12">
      <c r="B2233" s="55"/>
      <c r="AB2233" s="304"/>
      <c r="AC2233" s="304"/>
      <c r="AD2233" s="304"/>
      <c r="AE2233" s="304"/>
    </row>
    <row r="2234" spans="2:31" ht="12">
      <c r="B2234" s="55"/>
      <c r="AB2234" s="304"/>
      <c r="AC2234" s="304"/>
      <c r="AD2234" s="304"/>
      <c r="AE2234" s="304"/>
    </row>
    <row r="2235" spans="2:31" ht="12">
      <c r="B2235" s="55"/>
      <c r="AB2235" s="304"/>
      <c r="AC2235" s="304"/>
      <c r="AD2235" s="304"/>
      <c r="AE2235" s="304"/>
    </row>
    <row r="2236" spans="2:31" ht="12">
      <c r="B2236" s="55"/>
      <c r="AB2236" s="304"/>
      <c r="AC2236" s="304"/>
      <c r="AD2236" s="304"/>
      <c r="AE2236" s="304"/>
    </row>
    <row r="2237" spans="2:31" ht="12">
      <c r="B2237" s="55"/>
      <c r="AB2237" s="304"/>
      <c r="AC2237" s="304"/>
      <c r="AD2237" s="304"/>
      <c r="AE2237" s="304"/>
    </row>
    <row r="2238" spans="2:31" ht="12">
      <c r="B2238" s="55"/>
      <c r="AB2238" s="304"/>
      <c r="AC2238" s="304"/>
      <c r="AD2238" s="304"/>
      <c r="AE2238" s="304"/>
    </row>
    <row r="2239" spans="2:31" ht="12">
      <c r="B2239" s="55"/>
      <c r="AB2239" s="304"/>
      <c r="AC2239" s="304"/>
      <c r="AD2239" s="304"/>
      <c r="AE2239" s="304"/>
    </row>
    <row r="2240" spans="2:31" ht="12">
      <c r="B2240" s="55"/>
      <c r="AB2240" s="304"/>
      <c r="AC2240" s="304"/>
      <c r="AD2240" s="304"/>
      <c r="AE2240" s="304"/>
    </row>
    <row r="2241" spans="2:31" ht="12">
      <c r="B2241" s="55"/>
      <c r="AB2241" s="304"/>
      <c r="AC2241" s="304"/>
      <c r="AD2241" s="304"/>
      <c r="AE2241" s="304"/>
    </row>
    <row r="2242" spans="2:31" ht="12">
      <c r="B2242" s="55"/>
      <c r="AB2242" s="304"/>
      <c r="AC2242" s="304"/>
      <c r="AD2242" s="304"/>
      <c r="AE2242" s="304"/>
    </row>
    <row r="2243" spans="2:31" ht="12">
      <c r="B2243" s="55"/>
      <c r="AB2243" s="304"/>
      <c r="AC2243" s="304"/>
      <c r="AD2243" s="304"/>
      <c r="AE2243" s="304"/>
    </row>
    <row r="2244" spans="2:31" ht="12">
      <c r="B2244" s="55"/>
      <c r="AB2244" s="304"/>
      <c r="AC2244" s="304"/>
      <c r="AD2244" s="304"/>
      <c r="AE2244" s="304"/>
    </row>
    <row r="2245" spans="2:31" ht="12">
      <c r="B2245" s="55"/>
      <c r="AB2245" s="304"/>
      <c r="AC2245" s="304"/>
      <c r="AD2245" s="304"/>
      <c r="AE2245" s="304"/>
    </row>
    <row r="2246" spans="2:31" ht="12">
      <c r="B2246" s="55"/>
      <c r="AB2246" s="304"/>
      <c r="AC2246" s="304"/>
      <c r="AD2246" s="304"/>
      <c r="AE2246" s="304"/>
    </row>
    <row r="2247" spans="2:31" ht="12">
      <c r="B2247" s="55"/>
      <c r="AB2247" s="304"/>
      <c r="AC2247" s="304"/>
      <c r="AD2247" s="304"/>
      <c r="AE2247" s="304"/>
    </row>
    <row r="2248" spans="2:31" ht="12">
      <c r="B2248" s="55"/>
      <c r="AB2248" s="304"/>
      <c r="AC2248" s="304"/>
      <c r="AD2248" s="304"/>
      <c r="AE2248" s="304"/>
    </row>
    <row r="2249" spans="2:31" ht="12">
      <c r="B2249" s="55"/>
      <c r="AB2249" s="304"/>
      <c r="AC2249" s="304"/>
      <c r="AD2249" s="304"/>
      <c r="AE2249" s="304"/>
    </row>
    <row r="2250" spans="2:31" ht="12">
      <c r="B2250" s="55"/>
      <c r="AB2250" s="304"/>
      <c r="AC2250" s="304"/>
      <c r="AD2250" s="304"/>
      <c r="AE2250" s="304"/>
    </row>
    <row r="2251" spans="2:31" ht="12">
      <c r="B2251" s="55"/>
      <c r="AB2251" s="304"/>
      <c r="AC2251" s="304"/>
      <c r="AD2251" s="304"/>
      <c r="AE2251" s="304"/>
    </row>
    <row r="2252" spans="2:31" ht="12">
      <c r="B2252" s="55"/>
      <c r="AB2252" s="304"/>
      <c r="AC2252" s="304"/>
      <c r="AD2252" s="304"/>
      <c r="AE2252" s="304"/>
    </row>
    <row r="2253" spans="2:31" ht="12">
      <c r="B2253" s="55"/>
      <c r="AB2253" s="304"/>
      <c r="AC2253" s="304"/>
      <c r="AD2253" s="304"/>
      <c r="AE2253" s="304"/>
    </row>
    <row r="2254" spans="2:31" ht="12">
      <c r="B2254" s="55"/>
      <c r="AB2254" s="304"/>
      <c r="AC2254" s="304"/>
      <c r="AD2254" s="304"/>
      <c r="AE2254" s="304"/>
    </row>
    <row r="2255" spans="2:31" ht="12">
      <c r="B2255" s="55"/>
      <c r="AB2255" s="304"/>
      <c r="AC2255" s="304"/>
      <c r="AD2255" s="304"/>
      <c r="AE2255" s="304"/>
    </row>
    <row r="2256" spans="2:31" ht="12">
      <c r="B2256" s="55"/>
      <c r="AB2256" s="304"/>
      <c r="AC2256" s="304"/>
      <c r="AD2256" s="304"/>
      <c r="AE2256" s="304"/>
    </row>
    <row r="2257" spans="2:31" ht="12">
      <c r="B2257" s="55"/>
      <c r="AB2257" s="304"/>
      <c r="AC2257" s="304"/>
      <c r="AD2257" s="304"/>
      <c r="AE2257" s="304"/>
    </row>
    <row r="2258" spans="2:31" ht="12">
      <c r="B2258" s="55"/>
      <c r="AB2258" s="304"/>
      <c r="AC2258" s="304"/>
      <c r="AD2258" s="304"/>
      <c r="AE2258" s="304"/>
    </row>
    <row r="2259" spans="2:31" ht="12">
      <c r="B2259" s="55"/>
      <c r="AB2259" s="304"/>
      <c r="AC2259" s="304"/>
      <c r="AD2259" s="304"/>
      <c r="AE2259" s="304"/>
    </row>
    <row r="2260" spans="2:31" ht="12">
      <c r="B2260" s="55"/>
      <c r="AB2260" s="304"/>
      <c r="AC2260" s="304"/>
      <c r="AD2260" s="304"/>
      <c r="AE2260" s="304"/>
    </row>
    <row r="2261" spans="2:31" ht="12">
      <c r="B2261" s="55"/>
      <c r="AB2261" s="304"/>
      <c r="AC2261" s="304"/>
      <c r="AD2261" s="304"/>
      <c r="AE2261" s="304"/>
    </row>
    <row r="2262" spans="2:31" ht="12">
      <c r="B2262" s="55"/>
      <c r="AB2262" s="304"/>
      <c r="AC2262" s="304"/>
      <c r="AD2262" s="304"/>
      <c r="AE2262" s="304"/>
    </row>
    <row r="2263" spans="2:31" ht="12">
      <c r="B2263" s="55"/>
      <c r="AB2263" s="304"/>
      <c r="AC2263" s="304"/>
      <c r="AD2263" s="304"/>
      <c r="AE2263" s="304"/>
    </row>
    <row r="2264" spans="2:31" ht="12">
      <c r="B2264" s="55"/>
      <c r="AB2264" s="304"/>
      <c r="AC2264" s="304"/>
      <c r="AD2264" s="304"/>
      <c r="AE2264" s="304"/>
    </row>
    <row r="2265" spans="2:31" ht="12">
      <c r="B2265" s="55"/>
      <c r="AB2265" s="304"/>
      <c r="AC2265" s="304"/>
      <c r="AD2265" s="304"/>
      <c r="AE2265" s="304"/>
    </row>
    <row r="2266" spans="2:31" ht="12">
      <c r="B2266" s="55"/>
      <c r="AB2266" s="304"/>
      <c r="AC2266" s="304"/>
      <c r="AD2266" s="304"/>
      <c r="AE2266" s="304"/>
    </row>
    <row r="2267" spans="2:31" ht="12">
      <c r="B2267" s="55"/>
      <c r="AB2267" s="304"/>
      <c r="AC2267" s="304"/>
      <c r="AD2267" s="304"/>
      <c r="AE2267" s="304"/>
    </row>
    <row r="2268" spans="2:31" ht="12">
      <c r="B2268" s="55"/>
      <c r="AB2268" s="304"/>
      <c r="AC2268" s="304"/>
      <c r="AD2268" s="304"/>
      <c r="AE2268" s="304"/>
    </row>
    <row r="2269" spans="2:31" ht="12">
      <c r="B2269" s="55"/>
      <c r="AB2269" s="304"/>
      <c r="AC2269" s="304"/>
      <c r="AD2269" s="304"/>
      <c r="AE2269" s="304"/>
    </row>
    <row r="2270" spans="2:31" ht="12">
      <c r="B2270" s="55"/>
      <c r="AB2270" s="304"/>
      <c r="AC2270" s="304"/>
      <c r="AD2270" s="304"/>
      <c r="AE2270" s="304"/>
    </row>
    <row r="2271" spans="2:31" ht="12">
      <c r="B2271" s="55"/>
      <c r="AB2271" s="304"/>
      <c r="AC2271" s="304"/>
      <c r="AD2271" s="304"/>
      <c r="AE2271" s="304"/>
    </row>
    <row r="2272" spans="2:31" ht="12">
      <c r="B2272" s="55"/>
      <c r="AB2272" s="304"/>
      <c r="AC2272" s="304"/>
      <c r="AD2272" s="304"/>
      <c r="AE2272" s="304"/>
    </row>
    <row r="2273" spans="2:31" ht="12">
      <c r="B2273" s="55"/>
      <c r="AB2273" s="304"/>
      <c r="AC2273" s="304"/>
      <c r="AD2273" s="304"/>
      <c r="AE2273" s="304"/>
    </row>
    <row r="2274" spans="2:31" ht="12">
      <c r="B2274" s="55"/>
      <c r="AB2274" s="304"/>
      <c r="AC2274" s="304"/>
      <c r="AD2274" s="304"/>
      <c r="AE2274" s="304"/>
    </row>
    <row r="2275" spans="2:31" ht="12">
      <c r="B2275" s="55"/>
      <c r="AB2275" s="304"/>
      <c r="AC2275" s="304"/>
      <c r="AD2275" s="304"/>
      <c r="AE2275" s="304"/>
    </row>
    <row r="2276" spans="2:31" ht="12">
      <c r="B2276" s="55"/>
      <c r="AB2276" s="304"/>
      <c r="AC2276" s="304"/>
      <c r="AD2276" s="304"/>
      <c r="AE2276" s="304"/>
    </row>
    <row r="2277" spans="2:31" ht="12">
      <c r="B2277" s="55"/>
      <c r="AB2277" s="304"/>
      <c r="AC2277" s="304"/>
      <c r="AD2277" s="304"/>
      <c r="AE2277" s="304"/>
    </row>
    <row r="2278" spans="2:31" ht="12">
      <c r="B2278" s="55"/>
      <c r="AB2278" s="304"/>
      <c r="AC2278" s="304"/>
      <c r="AD2278" s="304"/>
      <c r="AE2278" s="304"/>
    </row>
    <row r="2279" spans="2:31" ht="12">
      <c r="B2279" s="55"/>
      <c r="AB2279" s="304"/>
      <c r="AC2279" s="304"/>
      <c r="AD2279" s="304"/>
      <c r="AE2279" s="304"/>
    </row>
    <row r="2280" spans="2:31" ht="12">
      <c r="B2280" s="55"/>
      <c r="AB2280" s="304"/>
      <c r="AC2280" s="304"/>
      <c r="AD2280" s="304"/>
      <c r="AE2280" s="304"/>
    </row>
    <row r="2281" spans="2:31" ht="12">
      <c r="B2281" s="55"/>
      <c r="AB2281" s="304"/>
      <c r="AC2281" s="304"/>
      <c r="AD2281" s="304"/>
      <c r="AE2281" s="304"/>
    </row>
    <row r="2282" spans="2:31" ht="12">
      <c r="B2282" s="55"/>
      <c r="AB2282" s="304"/>
      <c r="AC2282" s="304"/>
      <c r="AD2282" s="304"/>
      <c r="AE2282" s="304"/>
    </row>
    <row r="2283" spans="2:31" ht="12">
      <c r="B2283" s="55"/>
      <c r="AB2283" s="304"/>
      <c r="AC2283" s="304"/>
      <c r="AD2283" s="304"/>
      <c r="AE2283" s="304"/>
    </row>
    <row r="2284" spans="2:31" ht="12">
      <c r="B2284" s="55"/>
      <c r="AB2284" s="304"/>
      <c r="AC2284" s="304"/>
      <c r="AD2284" s="304"/>
      <c r="AE2284" s="304"/>
    </row>
    <row r="2285" spans="2:31" ht="12">
      <c r="B2285" s="55"/>
      <c r="AB2285" s="304"/>
      <c r="AC2285" s="304"/>
      <c r="AD2285" s="304"/>
      <c r="AE2285" s="304"/>
    </row>
    <row r="2286" spans="2:31" ht="12">
      <c r="B2286" s="55"/>
      <c r="AB2286" s="304"/>
      <c r="AC2286" s="304"/>
      <c r="AD2286" s="304"/>
      <c r="AE2286" s="304"/>
    </row>
    <row r="2287" spans="2:31" ht="12">
      <c r="B2287" s="55"/>
      <c r="AB2287" s="304"/>
      <c r="AC2287" s="304"/>
      <c r="AD2287" s="304"/>
      <c r="AE2287" s="304"/>
    </row>
    <row r="2288" spans="2:31" ht="12">
      <c r="B2288" s="55"/>
      <c r="AB2288" s="304"/>
      <c r="AC2288" s="304"/>
      <c r="AD2288" s="304"/>
      <c r="AE2288" s="304"/>
    </row>
    <row r="2289" spans="2:31" ht="12">
      <c r="B2289" s="55"/>
      <c r="AB2289" s="304"/>
      <c r="AC2289" s="304"/>
      <c r="AD2289" s="304"/>
      <c r="AE2289" s="304"/>
    </row>
    <row r="2290" spans="2:31" ht="12">
      <c r="B2290" s="55"/>
      <c r="AB2290" s="304"/>
      <c r="AC2290" s="304"/>
      <c r="AD2290" s="304"/>
      <c r="AE2290" s="304"/>
    </row>
    <row r="2291" spans="2:31" ht="12">
      <c r="B2291" s="55"/>
      <c r="AB2291" s="304"/>
      <c r="AC2291" s="304"/>
      <c r="AD2291" s="304"/>
      <c r="AE2291" s="304"/>
    </row>
    <row r="2292" spans="2:31" ht="12">
      <c r="B2292" s="55"/>
      <c r="AB2292" s="304"/>
      <c r="AC2292" s="304"/>
      <c r="AD2292" s="304"/>
      <c r="AE2292" s="304"/>
    </row>
    <row r="2293" spans="2:31" ht="12">
      <c r="B2293" s="55"/>
      <c r="AB2293" s="304"/>
      <c r="AC2293" s="304"/>
      <c r="AD2293" s="304"/>
      <c r="AE2293" s="304"/>
    </row>
    <row r="2294" spans="2:31" ht="12">
      <c r="B2294" s="55"/>
      <c r="AB2294" s="304"/>
      <c r="AC2294" s="304"/>
      <c r="AD2294" s="304"/>
      <c r="AE2294" s="304"/>
    </row>
    <row r="2295" spans="2:31" ht="12">
      <c r="B2295" s="55"/>
      <c r="AB2295" s="304"/>
      <c r="AC2295" s="304"/>
      <c r="AD2295" s="304"/>
      <c r="AE2295" s="304"/>
    </row>
    <row r="2296" spans="2:31" ht="12">
      <c r="B2296" s="55"/>
      <c r="AB2296" s="304"/>
      <c r="AC2296" s="304"/>
      <c r="AD2296" s="304"/>
      <c r="AE2296" s="304"/>
    </row>
    <row r="2297" spans="2:31" ht="12">
      <c r="B2297" s="55"/>
      <c r="AB2297" s="304"/>
      <c r="AC2297" s="304"/>
      <c r="AD2297" s="304"/>
      <c r="AE2297" s="304"/>
    </row>
    <row r="2298" spans="2:31" ht="12">
      <c r="B2298" s="55"/>
      <c r="AB2298" s="304"/>
      <c r="AC2298" s="304"/>
      <c r="AD2298" s="304"/>
      <c r="AE2298" s="304"/>
    </row>
    <row r="2299" spans="2:31" ht="12">
      <c r="B2299" s="55"/>
      <c r="AB2299" s="304"/>
      <c r="AC2299" s="304"/>
      <c r="AD2299" s="304"/>
      <c r="AE2299" s="304"/>
    </row>
    <row r="2300" spans="2:31" ht="12">
      <c r="B2300" s="55"/>
      <c r="AB2300" s="304"/>
      <c r="AC2300" s="304"/>
      <c r="AD2300" s="304"/>
      <c r="AE2300" s="304"/>
    </row>
    <row r="2301" spans="2:31" ht="12">
      <c r="B2301" s="55"/>
      <c r="AB2301" s="304"/>
      <c r="AC2301" s="304"/>
      <c r="AD2301" s="304"/>
      <c r="AE2301" s="304"/>
    </row>
    <row r="2302" spans="2:31" ht="12">
      <c r="B2302" s="55"/>
      <c r="AB2302" s="304"/>
      <c r="AC2302" s="304"/>
      <c r="AD2302" s="304"/>
      <c r="AE2302" s="304"/>
    </row>
    <row r="2303" spans="2:31" ht="12">
      <c r="B2303" s="55"/>
      <c r="AB2303" s="304"/>
      <c r="AC2303" s="304"/>
      <c r="AD2303" s="304"/>
      <c r="AE2303" s="304"/>
    </row>
    <row r="2304" spans="2:31" ht="12">
      <c r="B2304" s="55"/>
      <c r="AB2304" s="304"/>
      <c r="AC2304" s="304"/>
      <c r="AD2304" s="304"/>
      <c r="AE2304" s="304"/>
    </row>
    <row r="2305" spans="2:31" ht="12">
      <c r="B2305" s="55"/>
      <c r="AB2305" s="304"/>
      <c r="AC2305" s="304"/>
      <c r="AD2305" s="304"/>
      <c r="AE2305" s="304"/>
    </row>
    <row r="2306" spans="2:31" ht="12">
      <c r="B2306" s="55"/>
      <c r="AB2306" s="304"/>
      <c r="AC2306" s="304"/>
      <c r="AD2306" s="304"/>
      <c r="AE2306" s="304"/>
    </row>
    <row r="2307" spans="2:31" ht="12">
      <c r="B2307" s="55"/>
      <c r="AB2307" s="304"/>
      <c r="AC2307" s="304"/>
      <c r="AD2307" s="304"/>
      <c r="AE2307" s="304"/>
    </row>
    <row r="2308" spans="2:31" ht="12">
      <c r="B2308" s="55"/>
      <c r="AB2308" s="304"/>
      <c r="AC2308" s="304"/>
      <c r="AD2308" s="304"/>
      <c r="AE2308" s="304"/>
    </row>
    <row r="2309" spans="2:31" ht="12">
      <c r="B2309" s="55"/>
      <c r="AB2309" s="304"/>
      <c r="AC2309" s="304"/>
      <c r="AD2309" s="304"/>
      <c r="AE2309" s="304"/>
    </row>
    <row r="2310" spans="2:31" ht="12">
      <c r="B2310" s="55"/>
      <c r="AB2310" s="304"/>
      <c r="AC2310" s="304"/>
      <c r="AD2310" s="304"/>
      <c r="AE2310" s="304"/>
    </row>
    <row r="2311" spans="2:31" ht="12">
      <c r="B2311" s="55"/>
      <c r="AB2311" s="304"/>
      <c r="AC2311" s="304"/>
      <c r="AD2311" s="304"/>
      <c r="AE2311" s="304"/>
    </row>
    <row r="2312" spans="2:31" ht="12">
      <c r="B2312" s="55"/>
      <c r="AB2312" s="304"/>
      <c r="AC2312" s="304"/>
      <c r="AD2312" s="304"/>
      <c r="AE2312" s="304"/>
    </row>
    <row r="2313" spans="2:31" ht="12">
      <c r="B2313" s="55"/>
      <c r="AB2313" s="304"/>
      <c r="AC2313" s="304"/>
      <c r="AD2313" s="304"/>
      <c r="AE2313" s="304"/>
    </row>
    <row r="2314" spans="2:31" ht="12">
      <c r="B2314" s="55"/>
      <c r="AB2314" s="304"/>
      <c r="AC2314" s="304"/>
      <c r="AD2314" s="304"/>
      <c r="AE2314" s="304"/>
    </row>
    <row r="2315" spans="2:31" ht="12">
      <c r="B2315" s="55"/>
      <c r="AB2315" s="304"/>
      <c r="AC2315" s="304"/>
      <c r="AD2315" s="304"/>
      <c r="AE2315" s="304"/>
    </row>
    <row r="2316" spans="2:31" ht="12">
      <c r="B2316" s="55"/>
      <c r="AB2316" s="304"/>
      <c r="AC2316" s="304"/>
      <c r="AD2316" s="304"/>
      <c r="AE2316" s="304"/>
    </row>
    <row r="2317" spans="2:31" ht="12">
      <c r="B2317" s="55"/>
      <c r="AB2317" s="304"/>
      <c r="AC2317" s="304"/>
      <c r="AD2317" s="304"/>
      <c r="AE2317" s="304"/>
    </row>
    <row r="2318" spans="2:31" ht="12">
      <c r="B2318" s="55"/>
      <c r="AB2318" s="304"/>
      <c r="AC2318" s="304"/>
      <c r="AD2318" s="304"/>
      <c r="AE2318" s="304"/>
    </row>
    <row r="2319" spans="2:31" ht="12">
      <c r="B2319" s="55"/>
      <c r="AB2319" s="304"/>
      <c r="AC2319" s="304"/>
      <c r="AD2319" s="304"/>
      <c r="AE2319" s="304"/>
    </row>
    <row r="2320" spans="2:31" ht="12">
      <c r="B2320" s="55"/>
      <c r="AB2320" s="304"/>
      <c r="AC2320" s="304"/>
      <c r="AD2320" s="304"/>
      <c r="AE2320" s="304"/>
    </row>
    <row r="2321" spans="2:31" ht="12">
      <c r="B2321" s="55"/>
      <c r="AB2321" s="304"/>
      <c r="AC2321" s="304"/>
      <c r="AD2321" s="304"/>
      <c r="AE2321" s="304"/>
    </row>
    <row r="2322" spans="2:31" ht="12">
      <c r="B2322" s="55"/>
      <c r="AB2322" s="304"/>
      <c r="AC2322" s="304"/>
      <c r="AD2322" s="304"/>
      <c r="AE2322" s="304"/>
    </row>
    <row r="2323" spans="2:31" ht="12">
      <c r="B2323" s="55"/>
      <c r="AB2323" s="304"/>
      <c r="AC2323" s="304"/>
      <c r="AD2323" s="304"/>
      <c r="AE2323" s="304"/>
    </row>
    <row r="2324" spans="2:31" ht="12">
      <c r="B2324" s="55"/>
      <c r="AB2324" s="304"/>
      <c r="AC2324" s="304"/>
      <c r="AD2324" s="304"/>
      <c r="AE2324" s="304"/>
    </row>
    <row r="2325" spans="2:31" ht="12">
      <c r="B2325" s="55"/>
      <c r="AB2325" s="304"/>
      <c r="AC2325" s="304"/>
      <c r="AD2325" s="304"/>
      <c r="AE2325" s="304"/>
    </row>
    <row r="2326" spans="2:31" ht="12">
      <c r="B2326" s="55"/>
      <c r="AB2326" s="304"/>
      <c r="AC2326" s="304"/>
      <c r="AD2326" s="304"/>
      <c r="AE2326" s="304"/>
    </row>
    <row r="2327" spans="2:31" ht="12">
      <c r="B2327" s="55"/>
      <c r="AB2327" s="304"/>
      <c r="AC2327" s="304"/>
      <c r="AD2327" s="304"/>
      <c r="AE2327" s="304"/>
    </row>
    <row r="2328" spans="2:31" ht="12">
      <c r="B2328" s="55"/>
      <c r="AB2328" s="304"/>
      <c r="AC2328" s="304"/>
      <c r="AD2328" s="304"/>
      <c r="AE2328" s="304"/>
    </row>
    <row r="2329" spans="2:31" ht="12">
      <c r="B2329" s="55"/>
      <c r="AB2329" s="304"/>
      <c r="AC2329" s="304"/>
      <c r="AD2329" s="304"/>
      <c r="AE2329" s="304"/>
    </row>
    <row r="2330" spans="2:31" ht="12">
      <c r="B2330" s="55"/>
      <c r="AB2330" s="304"/>
      <c r="AC2330" s="304"/>
      <c r="AD2330" s="304"/>
      <c r="AE2330" s="304"/>
    </row>
    <row r="2331" spans="2:31" ht="12">
      <c r="B2331" s="55"/>
      <c r="AB2331" s="304"/>
      <c r="AC2331" s="304"/>
      <c r="AD2331" s="304"/>
      <c r="AE2331" s="304"/>
    </row>
    <row r="2332" spans="2:31" ht="12">
      <c r="B2332" s="55"/>
      <c r="AB2332" s="304"/>
      <c r="AC2332" s="304"/>
      <c r="AD2332" s="304"/>
      <c r="AE2332" s="304"/>
    </row>
    <row r="2333" spans="2:31" ht="12">
      <c r="B2333" s="55"/>
      <c r="AB2333" s="304"/>
      <c r="AC2333" s="304"/>
      <c r="AD2333" s="304"/>
      <c r="AE2333" s="304"/>
    </row>
    <row r="2334" spans="2:31" ht="12">
      <c r="B2334" s="55"/>
      <c r="AB2334" s="304"/>
      <c r="AC2334" s="304"/>
      <c r="AD2334" s="304"/>
      <c r="AE2334" s="304"/>
    </row>
    <row r="2335" spans="2:31" ht="12">
      <c r="B2335" s="55"/>
      <c r="AB2335" s="304"/>
      <c r="AC2335" s="304"/>
      <c r="AD2335" s="304"/>
      <c r="AE2335" s="304"/>
    </row>
    <row r="2336" spans="2:31" ht="12">
      <c r="B2336" s="55"/>
      <c r="AB2336" s="304"/>
      <c r="AC2336" s="304"/>
      <c r="AD2336" s="304"/>
      <c r="AE2336" s="304"/>
    </row>
    <row r="2337" spans="2:31" ht="12">
      <c r="B2337" s="55"/>
      <c r="AB2337" s="304"/>
      <c r="AC2337" s="304"/>
      <c r="AD2337" s="304"/>
      <c r="AE2337" s="304"/>
    </row>
    <row r="2338" spans="2:31" ht="12">
      <c r="B2338" s="55"/>
      <c r="AB2338" s="304"/>
      <c r="AC2338" s="304"/>
      <c r="AD2338" s="304"/>
      <c r="AE2338" s="304"/>
    </row>
    <row r="2339" spans="2:31" ht="12">
      <c r="B2339" s="55"/>
      <c r="AB2339" s="304"/>
      <c r="AC2339" s="304"/>
      <c r="AD2339" s="304"/>
      <c r="AE2339" s="304"/>
    </row>
    <row r="2340" spans="2:31" ht="12">
      <c r="B2340" s="55"/>
      <c r="AB2340" s="304"/>
      <c r="AC2340" s="304"/>
      <c r="AD2340" s="304"/>
      <c r="AE2340" s="304"/>
    </row>
    <row r="2341" spans="2:31" ht="12">
      <c r="B2341" s="55"/>
      <c r="AB2341" s="304"/>
      <c r="AC2341" s="304"/>
      <c r="AD2341" s="304"/>
      <c r="AE2341" s="304"/>
    </row>
    <row r="2342" spans="2:31" ht="12">
      <c r="B2342" s="55"/>
      <c r="AB2342" s="304"/>
      <c r="AC2342" s="304"/>
      <c r="AD2342" s="304"/>
      <c r="AE2342" s="304"/>
    </row>
    <row r="2343" spans="2:31" ht="12">
      <c r="B2343" s="55"/>
      <c r="AB2343" s="304"/>
      <c r="AC2343" s="304"/>
      <c r="AD2343" s="304"/>
      <c r="AE2343" s="304"/>
    </row>
    <row r="2344" spans="2:31" ht="12">
      <c r="B2344" s="55"/>
      <c r="AB2344" s="304"/>
      <c r="AC2344" s="304"/>
      <c r="AD2344" s="304"/>
      <c r="AE2344" s="304"/>
    </row>
    <row r="2345" spans="2:31" ht="12">
      <c r="B2345" s="55"/>
      <c r="AB2345" s="304"/>
      <c r="AC2345" s="304"/>
      <c r="AD2345" s="304"/>
      <c r="AE2345" s="304"/>
    </row>
    <row r="2346" spans="2:31" ht="12">
      <c r="B2346" s="55"/>
      <c r="AB2346" s="304"/>
      <c r="AC2346" s="304"/>
      <c r="AD2346" s="304"/>
      <c r="AE2346" s="304"/>
    </row>
    <row r="2347" spans="2:31" ht="12">
      <c r="B2347" s="55"/>
      <c r="AB2347" s="304"/>
      <c r="AC2347" s="304"/>
      <c r="AD2347" s="304"/>
      <c r="AE2347" s="304"/>
    </row>
    <row r="2348" spans="2:31" ht="12">
      <c r="B2348" s="55"/>
      <c r="AB2348" s="304"/>
      <c r="AC2348" s="304"/>
      <c r="AD2348" s="304"/>
      <c r="AE2348" s="304"/>
    </row>
    <row r="2349" spans="2:31" ht="12">
      <c r="B2349" s="55"/>
      <c r="AB2349" s="304"/>
      <c r="AC2349" s="304"/>
      <c r="AD2349" s="304"/>
      <c r="AE2349" s="304"/>
    </row>
    <row r="2350" spans="2:31" ht="12">
      <c r="B2350" s="55"/>
      <c r="AB2350" s="304"/>
      <c r="AC2350" s="304"/>
      <c r="AD2350" s="304"/>
      <c r="AE2350" s="304"/>
    </row>
    <row r="2351" spans="2:31" ht="12">
      <c r="B2351" s="55"/>
      <c r="AB2351" s="304"/>
      <c r="AC2351" s="304"/>
      <c r="AD2351" s="304"/>
      <c r="AE2351" s="304"/>
    </row>
    <row r="2352" spans="2:31" ht="12">
      <c r="B2352" s="55"/>
      <c r="AB2352" s="304"/>
      <c r="AC2352" s="304"/>
      <c r="AD2352" s="304"/>
      <c r="AE2352" s="304"/>
    </row>
    <row r="2353" spans="2:31" ht="12">
      <c r="B2353" s="55"/>
      <c r="AB2353" s="304"/>
      <c r="AC2353" s="304"/>
      <c r="AD2353" s="304"/>
      <c r="AE2353" s="304"/>
    </row>
    <row r="2354" spans="2:31" ht="12">
      <c r="B2354" s="55"/>
      <c r="AB2354" s="304"/>
      <c r="AC2354" s="304"/>
      <c r="AD2354" s="304"/>
      <c r="AE2354" s="304"/>
    </row>
    <row r="2355" spans="2:31" ht="12">
      <c r="B2355" s="55"/>
      <c r="AB2355" s="304"/>
      <c r="AC2355" s="304"/>
      <c r="AD2355" s="304"/>
      <c r="AE2355" s="304"/>
    </row>
    <row r="2356" spans="2:31" ht="12">
      <c r="B2356" s="55"/>
      <c r="AB2356" s="304"/>
      <c r="AC2356" s="304"/>
      <c r="AD2356" s="304"/>
      <c r="AE2356" s="304"/>
    </row>
    <row r="2357" spans="2:31" ht="12">
      <c r="B2357" s="55"/>
      <c r="AB2357" s="304"/>
      <c r="AC2357" s="304"/>
      <c r="AD2357" s="304"/>
      <c r="AE2357" s="304"/>
    </row>
    <row r="2358" spans="2:31" ht="12">
      <c r="B2358" s="55"/>
      <c r="AB2358" s="304"/>
      <c r="AC2358" s="304"/>
      <c r="AD2358" s="304"/>
      <c r="AE2358" s="304"/>
    </row>
    <row r="2359" spans="2:31" ht="12">
      <c r="B2359" s="55"/>
      <c r="AB2359" s="304"/>
      <c r="AC2359" s="304"/>
      <c r="AD2359" s="304"/>
      <c r="AE2359" s="304"/>
    </row>
    <row r="2360" spans="2:31" ht="12">
      <c r="B2360" s="55"/>
      <c r="AB2360" s="304"/>
      <c r="AC2360" s="304"/>
      <c r="AD2360" s="304"/>
      <c r="AE2360" s="304"/>
    </row>
    <row r="2361" spans="2:31" ht="12">
      <c r="B2361" s="55"/>
      <c r="AB2361" s="304"/>
      <c r="AC2361" s="304"/>
      <c r="AD2361" s="304"/>
      <c r="AE2361" s="304"/>
    </row>
    <row r="2362" spans="2:31" ht="12">
      <c r="B2362" s="55"/>
      <c r="AB2362" s="304"/>
      <c r="AC2362" s="304"/>
      <c r="AD2362" s="304"/>
      <c r="AE2362" s="304"/>
    </row>
    <row r="2363" spans="2:31" ht="12">
      <c r="B2363" s="55"/>
      <c r="AB2363" s="304"/>
      <c r="AC2363" s="304"/>
      <c r="AD2363" s="304"/>
      <c r="AE2363" s="304"/>
    </row>
    <row r="2364" spans="2:31" ht="12">
      <c r="B2364" s="55"/>
      <c r="AB2364" s="304"/>
      <c r="AC2364" s="304"/>
      <c r="AD2364" s="304"/>
      <c r="AE2364" s="304"/>
    </row>
    <row r="2365" spans="2:31" ht="12">
      <c r="B2365" s="55"/>
      <c r="AB2365" s="304"/>
      <c r="AC2365" s="304"/>
      <c r="AD2365" s="304"/>
      <c r="AE2365" s="304"/>
    </row>
    <row r="2366" spans="2:31" ht="12">
      <c r="B2366" s="55"/>
      <c r="AB2366" s="304"/>
      <c r="AC2366" s="304"/>
      <c r="AD2366" s="304"/>
      <c r="AE2366" s="304"/>
    </row>
    <row r="2367" spans="2:31" ht="12">
      <c r="B2367" s="55"/>
      <c r="AB2367" s="304"/>
      <c r="AC2367" s="304"/>
      <c r="AD2367" s="304"/>
      <c r="AE2367" s="304"/>
    </row>
    <row r="2368" spans="2:31" ht="12">
      <c r="B2368" s="55"/>
      <c r="AB2368" s="304"/>
      <c r="AC2368" s="304"/>
      <c r="AD2368" s="304"/>
      <c r="AE2368" s="304"/>
    </row>
    <row r="2369" spans="2:31" ht="12">
      <c r="B2369" s="55"/>
      <c r="AB2369" s="304"/>
      <c r="AC2369" s="304"/>
      <c r="AD2369" s="304"/>
      <c r="AE2369" s="304"/>
    </row>
    <row r="2370" spans="2:31" ht="12">
      <c r="B2370" s="55"/>
      <c r="AB2370" s="304"/>
      <c r="AC2370" s="304"/>
      <c r="AD2370" s="304"/>
      <c r="AE2370" s="304"/>
    </row>
    <row r="2371" spans="2:31" ht="12">
      <c r="B2371" s="55"/>
      <c r="AB2371" s="304"/>
      <c r="AC2371" s="304"/>
      <c r="AD2371" s="304"/>
      <c r="AE2371" s="304"/>
    </row>
    <row r="2372" spans="2:31" ht="12">
      <c r="B2372" s="55"/>
      <c r="AB2372" s="304"/>
      <c r="AC2372" s="304"/>
      <c r="AD2372" s="304"/>
      <c r="AE2372" s="304"/>
    </row>
    <row r="2373" spans="2:31" ht="12">
      <c r="B2373" s="55"/>
      <c r="AB2373" s="304"/>
      <c r="AC2373" s="304"/>
      <c r="AD2373" s="304"/>
      <c r="AE2373" s="304"/>
    </row>
    <row r="2374" spans="2:31" ht="12">
      <c r="B2374" s="55"/>
      <c r="AB2374" s="304"/>
      <c r="AC2374" s="304"/>
      <c r="AD2374" s="304"/>
      <c r="AE2374" s="304"/>
    </row>
    <row r="2375" spans="2:31" ht="12">
      <c r="B2375" s="55"/>
      <c r="AB2375" s="304"/>
      <c r="AC2375" s="304"/>
      <c r="AD2375" s="304"/>
      <c r="AE2375" s="304"/>
    </row>
    <row r="2376" spans="2:31" ht="12">
      <c r="B2376" s="55"/>
      <c r="AB2376" s="304"/>
      <c r="AC2376" s="304"/>
      <c r="AD2376" s="304"/>
      <c r="AE2376" s="304"/>
    </row>
    <row r="2377" spans="2:31" ht="12">
      <c r="B2377" s="55"/>
      <c r="AB2377" s="304"/>
      <c r="AC2377" s="304"/>
      <c r="AD2377" s="304"/>
      <c r="AE2377" s="304"/>
    </row>
    <row r="2378" spans="2:31" ht="12">
      <c r="B2378" s="55"/>
      <c r="AB2378" s="304"/>
      <c r="AC2378" s="304"/>
      <c r="AD2378" s="304"/>
      <c r="AE2378" s="304"/>
    </row>
    <row r="2379" spans="2:31" ht="12">
      <c r="B2379" s="55"/>
      <c r="AB2379" s="304"/>
      <c r="AC2379" s="304"/>
      <c r="AD2379" s="304"/>
      <c r="AE2379" s="304"/>
    </row>
    <row r="2380" spans="2:31" ht="12">
      <c r="B2380" s="55"/>
      <c r="AB2380" s="304"/>
      <c r="AC2380" s="304"/>
      <c r="AD2380" s="304"/>
      <c r="AE2380" s="304"/>
    </row>
    <row r="2381" spans="2:31" ht="12">
      <c r="B2381" s="55"/>
      <c r="AB2381" s="304"/>
      <c r="AC2381" s="304"/>
      <c r="AD2381" s="304"/>
      <c r="AE2381" s="304"/>
    </row>
    <row r="2382" spans="2:31" ht="12">
      <c r="B2382" s="55"/>
      <c r="AB2382" s="304"/>
      <c r="AC2382" s="304"/>
      <c r="AD2382" s="304"/>
      <c r="AE2382" s="304"/>
    </row>
    <row r="2383" spans="2:31" ht="12">
      <c r="B2383" s="55"/>
      <c r="AB2383" s="304"/>
      <c r="AC2383" s="304"/>
      <c r="AD2383" s="304"/>
      <c r="AE2383" s="304"/>
    </row>
    <row r="2384" spans="2:31" ht="12">
      <c r="B2384" s="55"/>
      <c r="AB2384" s="304"/>
      <c r="AC2384" s="304"/>
      <c r="AD2384" s="304"/>
      <c r="AE2384" s="304"/>
    </row>
    <row r="2385" spans="2:31" ht="12">
      <c r="B2385" s="55"/>
      <c r="AB2385" s="304"/>
      <c r="AC2385" s="304"/>
      <c r="AD2385" s="304"/>
      <c r="AE2385" s="304"/>
    </row>
    <row r="2386" spans="2:31" ht="12">
      <c r="B2386" s="55"/>
      <c r="AB2386" s="304"/>
      <c r="AC2386" s="304"/>
      <c r="AD2386" s="304"/>
      <c r="AE2386" s="304"/>
    </row>
    <row r="2387" spans="2:31" ht="12">
      <c r="B2387" s="55"/>
      <c r="AB2387" s="304"/>
      <c r="AC2387" s="304"/>
      <c r="AD2387" s="304"/>
      <c r="AE2387" s="304"/>
    </row>
    <row r="2388" spans="2:31" ht="12">
      <c r="B2388" s="55"/>
      <c r="AB2388" s="304"/>
      <c r="AC2388" s="304"/>
      <c r="AD2388" s="304"/>
      <c r="AE2388" s="304"/>
    </row>
    <row r="2389" spans="2:31" ht="12">
      <c r="B2389" s="55"/>
      <c r="AB2389" s="304"/>
      <c r="AC2389" s="304"/>
      <c r="AD2389" s="304"/>
      <c r="AE2389" s="304"/>
    </row>
    <row r="2390" spans="2:31" ht="12">
      <c r="B2390" s="55"/>
      <c r="AB2390" s="304"/>
      <c r="AC2390" s="304"/>
      <c r="AD2390" s="304"/>
      <c r="AE2390" s="304"/>
    </row>
    <row r="2391" spans="2:31" ht="12">
      <c r="B2391" s="55"/>
      <c r="AB2391" s="304"/>
      <c r="AC2391" s="304"/>
      <c r="AD2391" s="304"/>
      <c r="AE2391" s="304"/>
    </row>
    <row r="2392" spans="2:31" ht="12">
      <c r="B2392" s="55"/>
      <c r="AB2392" s="304"/>
      <c r="AC2392" s="304"/>
      <c r="AD2392" s="304"/>
      <c r="AE2392" s="304"/>
    </row>
    <row r="2393" spans="2:31" ht="12">
      <c r="B2393" s="55"/>
      <c r="AB2393" s="304"/>
      <c r="AC2393" s="304"/>
      <c r="AD2393" s="304"/>
      <c r="AE2393" s="304"/>
    </row>
    <row r="2394" spans="2:31" ht="12">
      <c r="B2394" s="55"/>
      <c r="AB2394" s="304"/>
      <c r="AC2394" s="304"/>
      <c r="AD2394" s="304"/>
      <c r="AE2394" s="304"/>
    </row>
    <row r="2395" spans="2:31" ht="12">
      <c r="B2395" s="55"/>
      <c r="AB2395" s="304"/>
      <c r="AC2395" s="304"/>
      <c r="AD2395" s="304"/>
      <c r="AE2395" s="304"/>
    </row>
    <row r="2396" spans="2:31" ht="12">
      <c r="B2396" s="55"/>
      <c r="AB2396" s="304"/>
      <c r="AC2396" s="304"/>
      <c r="AD2396" s="304"/>
      <c r="AE2396" s="304"/>
    </row>
    <row r="2397" spans="2:31" ht="12">
      <c r="B2397" s="55"/>
      <c r="AB2397" s="304"/>
      <c r="AC2397" s="304"/>
      <c r="AD2397" s="304"/>
      <c r="AE2397" s="304"/>
    </row>
    <row r="2398" spans="2:31" ht="12">
      <c r="B2398" s="55"/>
      <c r="AB2398" s="304"/>
      <c r="AC2398" s="304"/>
      <c r="AD2398" s="304"/>
      <c r="AE2398" s="304"/>
    </row>
    <row r="2399" spans="2:31" ht="12">
      <c r="B2399" s="55"/>
      <c r="AB2399" s="304"/>
      <c r="AC2399" s="304"/>
      <c r="AD2399" s="304"/>
      <c r="AE2399" s="304"/>
    </row>
    <row r="2400" spans="2:31" ht="12">
      <c r="B2400" s="55"/>
      <c r="AB2400" s="304"/>
      <c r="AC2400" s="304"/>
      <c r="AD2400" s="304"/>
      <c r="AE2400" s="304"/>
    </row>
    <row r="2401" spans="2:31" ht="12">
      <c r="B2401" s="55"/>
      <c r="AB2401" s="304"/>
      <c r="AC2401" s="304"/>
      <c r="AD2401" s="304"/>
      <c r="AE2401" s="304"/>
    </row>
    <row r="2402" spans="2:31" ht="12">
      <c r="B2402" s="55"/>
      <c r="AB2402" s="304"/>
      <c r="AC2402" s="304"/>
      <c r="AD2402" s="304"/>
      <c r="AE2402" s="304"/>
    </row>
    <row r="2403" spans="2:31" ht="12">
      <c r="B2403" s="55"/>
      <c r="AB2403" s="304"/>
      <c r="AC2403" s="304"/>
      <c r="AD2403" s="304"/>
      <c r="AE2403" s="304"/>
    </row>
    <row r="2404" spans="2:31" ht="12">
      <c r="B2404" s="55"/>
      <c r="AB2404" s="304"/>
      <c r="AC2404" s="304"/>
      <c r="AD2404" s="304"/>
      <c r="AE2404" s="304"/>
    </row>
    <row r="2405" spans="2:31" ht="12">
      <c r="B2405" s="55"/>
      <c r="AB2405" s="304"/>
      <c r="AC2405" s="304"/>
      <c r="AD2405" s="304"/>
      <c r="AE2405" s="304"/>
    </row>
    <row r="2406" spans="2:31" ht="12">
      <c r="B2406" s="55"/>
      <c r="AB2406" s="304"/>
      <c r="AC2406" s="304"/>
      <c r="AD2406" s="304"/>
      <c r="AE2406" s="304"/>
    </row>
    <row r="2407" spans="2:31" ht="12">
      <c r="B2407" s="55"/>
      <c r="AB2407" s="304"/>
      <c r="AC2407" s="304"/>
      <c r="AD2407" s="304"/>
      <c r="AE2407" s="304"/>
    </row>
    <row r="2408" spans="2:31" ht="12">
      <c r="B2408" s="55"/>
      <c r="AB2408" s="304"/>
      <c r="AC2408" s="304"/>
      <c r="AD2408" s="304"/>
      <c r="AE2408" s="304"/>
    </row>
    <row r="2409" spans="2:31" ht="12">
      <c r="B2409" s="55"/>
      <c r="AB2409" s="304"/>
      <c r="AC2409" s="304"/>
      <c r="AD2409" s="304"/>
      <c r="AE2409" s="304"/>
    </row>
    <row r="2410" spans="2:31" ht="12">
      <c r="B2410" s="55"/>
      <c r="AB2410" s="304"/>
      <c r="AC2410" s="304"/>
      <c r="AD2410" s="304"/>
      <c r="AE2410" s="304"/>
    </row>
    <row r="2411" spans="2:31" ht="12">
      <c r="B2411" s="55"/>
      <c r="AB2411" s="304"/>
      <c r="AC2411" s="304"/>
      <c r="AD2411" s="304"/>
      <c r="AE2411" s="304"/>
    </row>
    <row r="2412" spans="2:31" ht="12">
      <c r="B2412" s="55"/>
      <c r="AB2412" s="304"/>
      <c r="AC2412" s="304"/>
      <c r="AD2412" s="304"/>
      <c r="AE2412" s="304"/>
    </row>
    <row r="2413" spans="2:31" ht="12">
      <c r="B2413" s="55"/>
      <c r="AB2413" s="304"/>
      <c r="AC2413" s="304"/>
      <c r="AD2413" s="304"/>
      <c r="AE2413" s="304"/>
    </row>
    <row r="2414" spans="2:31" ht="12">
      <c r="B2414" s="55"/>
      <c r="AB2414" s="304"/>
      <c r="AC2414" s="304"/>
      <c r="AD2414" s="304"/>
      <c r="AE2414" s="304"/>
    </row>
    <row r="2415" spans="2:31" ht="12">
      <c r="B2415" s="55"/>
      <c r="AB2415" s="304"/>
      <c r="AC2415" s="304"/>
      <c r="AD2415" s="304"/>
      <c r="AE2415" s="304"/>
    </row>
    <row r="2416" spans="2:31" ht="12">
      <c r="B2416" s="55"/>
      <c r="AB2416" s="304"/>
      <c r="AC2416" s="304"/>
      <c r="AD2416" s="304"/>
      <c r="AE2416" s="304"/>
    </row>
    <row r="2417" spans="2:31" ht="12">
      <c r="B2417" s="55"/>
      <c r="AB2417" s="304"/>
      <c r="AC2417" s="304"/>
      <c r="AD2417" s="304"/>
      <c r="AE2417" s="304"/>
    </row>
    <row r="2418" spans="2:31" ht="12">
      <c r="B2418" s="55"/>
      <c r="AB2418" s="304"/>
      <c r="AC2418" s="304"/>
      <c r="AD2418" s="304"/>
      <c r="AE2418" s="304"/>
    </row>
    <row r="2419" spans="2:31" ht="12">
      <c r="B2419" s="55"/>
      <c r="AB2419" s="304"/>
      <c r="AC2419" s="304"/>
      <c r="AD2419" s="304"/>
      <c r="AE2419" s="304"/>
    </row>
    <row r="2420" spans="2:31" ht="12">
      <c r="B2420" s="55"/>
      <c r="AB2420" s="304"/>
      <c r="AC2420" s="304"/>
      <c r="AD2420" s="304"/>
      <c r="AE2420" s="304"/>
    </row>
    <row r="2421" spans="2:31" ht="12">
      <c r="B2421" s="55"/>
      <c r="AB2421" s="304"/>
      <c r="AC2421" s="304"/>
      <c r="AD2421" s="304"/>
      <c r="AE2421" s="304"/>
    </row>
    <row r="2422" spans="2:31" ht="12">
      <c r="B2422" s="55"/>
      <c r="AB2422" s="304"/>
      <c r="AC2422" s="304"/>
      <c r="AD2422" s="304"/>
      <c r="AE2422" s="304"/>
    </row>
    <row r="2423" spans="2:31" ht="12">
      <c r="B2423" s="55"/>
      <c r="AB2423" s="304"/>
      <c r="AC2423" s="304"/>
      <c r="AD2423" s="304"/>
      <c r="AE2423" s="304"/>
    </row>
    <row r="2424" spans="2:31" ht="12">
      <c r="B2424" s="55"/>
      <c r="AB2424" s="304"/>
      <c r="AC2424" s="304"/>
      <c r="AD2424" s="304"/>
      <c r="AE2424" s="304"/>
    </row>
    <row r="2425" spans="2:31" ht="12">
      <c r="B2425" s="55"/>
      <c r="AB2425" s="304"/>
      <c r="AC2425" s="304"/>
      <c r="AD2425" s="304"/>
      <c r="AE2425" s="304"/>
    </row>
    <row r="2426" spans="2:31" ht="12">
      <c r="B2426" s="55"/>
      <c r="AB2426" s="304"/>
      <c r="AC2426" s="304"/>
      <c r="AD2426" s="304"/>
      <c r="AE2426" s="304"/>
    </row>
    <row r="2427" spans="2:31" ht="12">
      <c r="B2427" s="55"/>
      <c r="AB2427" s="304"/>
      <c r="AC2427" s="304"/>
      <c r="AD2427" s="304"/>
      <c r="AE2427" s="304"/>
    </row>
    <row r="2428" spans="2:31" ht="12">
      <c r="B2428" s="55"/>
      <c r="AB2428" s="304"/>
      <c r="AC2428" s="304"/>
      <c r="AD2428" s="304"/>
      <c r="AE2428" s="304"/>
    </row>
    <row r="2429" spans="2:31" ht="12">
      <c r="B2429" s="55"/>
      <c r="AB2429" s="304"/>
      <c r="AC2429" s="304"/>
      <c r="AD2429" s="304"/>
      <c r="AE2429" s="304"/>
    </row>
    <row r="2430" spans="2:31" ht="12">
      <c r="B2430" s="55"/>
      <c r="AB2430" s="304"/>
      <c r="AC2430" s="304"/>
      <c r="AD2430" s="304"/>
      <c r="AE2430" s="304"/>
    </row>
    <row r="2431" spans="2:31" ht="12">
      <c r="B2431" s="55"/>
      <c r="AB2431" s="304"/>
      <c r="AC2431" s="304"/>
      <c r="AD2431" s="304"/>
      <c r="AE2431" s="304"/>
    </row>
    <row r="2432" spans="2:31" ht="12">
      <c r="B2432" s="55"/>
      <c r="AB2432" s="304"/>
      <c r="AC2432" s="304"/>
      <c r="AD2432" s="304"/>
      <c r="AE2432" s="304"/>
    </row>
    <row r="2433" spans="2:31" ht="12">
      <c r="B2433" s="55"/>
      <c r="AB2433" s="304"/>
      <c r="AC2433" s="304"/>
      <c r="AD2433" s="304"/>
      <c r="AE2433" s="304"/>
    </row>
    <row r="2434" spans="2:31" ht="12">
      <c r="B2434" s="55"/>
      <c r="AB2434" s="304"/>
      <c r="AC2434" s="304"/>
      <c r="AD2434" s="304"/>
      <c r="AE2434" s="304"/>
    </row>
    <row r="2435" spans="2:31" ht="12">
      <c r="B2435" s="55"/>
      <c r="AB2435" s="304"/>
      <c r="AC2435" s="304"/>
      <c r="AD2435" s="304"/>
      <c r="AE2435" s="304"/>
    </row>
    <row r="2436" spans="2:31" ht="12">
      <c r="B2436" s="55"/>
      <c r="AB2436" s="304"/>
      <c r="AC2436" s="304"/>
      <c r="AD2436" s="304"/>
      <c r="AE2436" s="304"/>
    </row>
    <row r="2437" spans="2:31" ht="12">
      <c r="B2437" s="55"/>
      <c r="AB2437" s="304"/>
      <c r="AC2437" s="304"/>
      <c r="AD2437" s="304"/>
      <c r="AE2437" s="304"/>
    </row>
    <row r="2438" spans="2:31" ht="12">
      <c r="B2438" s="55"/>
      <c r="AB2438" s="304"/>
      <c r="AC2438" s="304"/>
      <c r="AD2438" s="304"/>
      <c r="AE2438" s="304"/>
    </row>
    <row r="2439" spans="2:31" ht="12">
      <c r="B2439" s="55"/>
      <c r="AB2439" s="304"/>
      <c r="AC2439" s="304"/>
      <c r="AD2439" s="304"/>
      <c r="AE2439" s="304"/>
    </row>
    <row r="2440" spans="2:31" ht="12">
      <c r="B2440" s="55"/>
      <c r="AB2440" s="304"/>
      <c r="AC2440" s="304"/>
      <c r="AD2440" s="304"/>
      <c r="AE2440" s="304"/>
    </row>
    <row r="2441" spans="2:31" ht="12">
      <c r="B2441" s="55"/>
      <c r="AB2441" s="304"/>
      <c r="AC2441" s="304"/>
      <c r="AD2441" s="304"/>
      <c r="AE2441" s="304"/>
    </row>
    <row r="2442" spans="2:31" ht="12">
      <c r="B2442" s="55"/>
      <c r="AB2442" s="304"/>
      <c r="AC2442" s="304"/>
      <c r="AD2442" s="304"/>
      <c r="AE2442" s="304"/>
    </row>
    <row r="2443" spans="2:31" ht="12">
      <c r="B2443" s="55"/>
      <c r="AB2443" s="304"/>
      <c r="AC2443" s="304"/>
      <c r="AD2443" s="304"/>
      <c r="AE2443" s="304"/>
    </row>
    <row r="2444" spans="2:31" ht="12">
      <c r="B2444" s="55"/>
      <c r="AB2444" s="304"/>
      <c r="AC2444" s="304"/>
      <c r="AD2444" s="304"/>
      <c r="AE2444" s="304"/>
    </row>
    <row r="2445" spans="2:31" ht="12">
      <c r="B2445" s="55"/>
      <c r="AB2445" s="304"/>
      <c r="AC2445" s="304"/>
      <c r="AD2445" s="304"/>
      <c r="AE2445" s="304"/>
    </row>
    <row r="2446" spans="2:31" ht="12">
      <c r="B2446" s="55"/>
      <c r="AB2446" s="304"/>
      <c r="AC2446" s="304"/>
      <c r="AD2446" s="304"/>
      <c r="AE2446" s="304"/>
    </row>
    <row r="2447" spans="2:31" ht="12">
      <c r="B2447" s="55"/>
      <c r="AB2447" s="304"/>
      <c r="AC2447" s="304"/>
      <c r="AD2447" s="304"/>
      <c r="AE2447" s="304"/>
    </row>
    <row r="2448" spans="2:31" ht="12">
      <c r="B2448" s="55"/>
      <c r="AB2448" s="304"/>
      <c r="AC2448" s="304"/>
      <c r="AD2448" s="304"/>
      <c r="AE2448" s="304"/>
    </row>
    <row r="2449" spans="2:31" ht="12">
      <c r="B2449" s="55"/>
      <c r="AB2449" s="304"/>
      <c r="AC2449" s="304"/>
      <c r="AD2449" s="304"/>
      <c r="AE2449" s="304"/>
    </row>
    <row r="2450" spans="2:31" ht="12">
      <c r="B2450" s="55"/>
      <c r="AB2450" s="304"/>
      <c r="AC2450" s="304"/>
      <c r="AD2450" s="304"/>
      <c r="AE2450" s="304"/>
    </row>
    <row r="2451" spans="2:31" ht="12">
      <c r="B2451" s="55"/>
      <c r="AB2451" s="304"/>
      <c r="AC2451" s="304"/>
      <c r="AD2451" s="304"/>
      <c r="AE2451" s="304"/>
    </row>
    <row r="2452" spans="2:31" ht="12">
      <c r="B2452" s="55"/>
      <c r="AB2452" s="304"/>
      <c r="AC2452" s="304"/>
      <c r="AD2452" s="304"/>
      <c r="AE2452" s="304"/>
    </row>
    <row r="2453" spans="2:31" ht="12">
      <c r="B2453" s="55"/>
      <c r="AB2453" s="304"/>
      <c r="AC2453" s="304"/>
      <c r="AD2453" s="304"/>
      <c r="AE2453" s="304"/>
    </row>
    <row r="2454" spans="2:31" ht="12">
      <c r="B2454" s="55"/>
      <c r="AB2454" s="304"/>
      <c r="AC2454" s="304"/>
      <c r="AD2454" s="304"/>
      <c r="AE2454" s="304"/>
    </row>
    <row r="2455" spans="2:31" ht="12">
      <c r="B2455" s="55"/>
      <c r="AB2455" s="304"/>
      <c r="AC2455" s="304"/>
      <c r="AD2455" s="304"/>
      <c r="AE2455" s="304"/>
    </row>
    <row r="2456" spans="2:31" ht="12">
      <c r="B2456" s="55"/>
      <c r="AB2456" s="304"/>
      <c r="AC2456" s="304"/>
      <c r="AD2456" s="304"/>
      <c r="AE2456" s="304"/>
    </row>
    <row r="2457" spans="2:31" ht="12">
      <c r="B2457" s="55"/>
      <c r="AB2457" s="304"/>
      <c r="AC2457" s="304"/>
      <c r="AD2457" s="304"/>
      <c r="AE2457" s="304"/>
    </row>
    <row r="2458" spans="2:31" ht="12">
      <c r="B2458" s="55"/>
      <c r="AB2458" s="304"/>
      <c r="AC2458" s="304"/>
      <c r="AD2458" s="304"/>
      <c r="AE2458" s="304"/>
    </row>
    <row r="2459" spans="2:31" ht="12">
      <c r="B2459" s="55"/>
      <c r="AB2459" s="304"/>
      <c r="AC2459" s="304"/>
      <c r="AD2459" s="304"/>
      <c r="AE2459" s="304"/>
    </row>
    <row r="2460" spans="2:31" ht="12">
      <c r="B2460" s="55"/>
      <c r="AB2460" s="304"/>
      <c r="AC2460" s="304"/>
      <c r="AD2460" s="304"/>
      <c r="AE2460" s="304"/>
    </row>
    <row r="2461" spans="2:31" ht="12">
      <c r="B2461" s="55"/>
      <c r="AB2461" s="304"/>
      <c r="AC2461" s="304"/>
      <c r="AD2461" s="304"/>
      <c r="AE2461" s="304"/>
    </row>
    <row r="2462" spans="2:31" ht="12">
      <c r="B2462" s="55"/>
      <c r="AB2462" s="304"/>
      <c r="AC2462" s="304"/>
      <c r="AD2462" s="304"/>
      <c r="AE2462" s="304"/>
    </row>
    <row r="2463" spans="2:31" ht="12">
      <c r="B2463" s="55"/>
      <c r="AB2463" s="304"/>
      <c r="AC2463" s="304"/>
      <c r="AD2463" s="304"/>
      <c r="AE2463" s="304"/>
    </row>
    <row r="2464" spans="2:31" ht="12">
      <c r="B2464" s="55"/>
      <c r="AB2464" s="304"/>
      <c r="AC2464" s="304"/>
      <c r="AD2464" s="304"/>
      <c r="AE2464" s="304"/>
    </row>
    <row r="2465" spans="2:31" ht="12">
      <c r="B2465" s="55"/>
      <c r="AB2465" s="304"/>
      <c r="AC2465" s="304"/>
      <c r="AD2465" s="304"/>
      <c r="AE2465" s="304"/>
    </row>
    <row r="2466" spans="2:31" ht="12">
      <c r="B2466" s="55"/>
      <c r="AB2466" s="304"/>
      <c r="AC2466" s="304"/>
      <c r="AD2466" s="304"/>
      <c r="AE2466" s="304"/>
    </row>
    <row r="2467" spans="2:31" ht="12">
      <c r="B2467" s="55"/>
      <c r="AB2467" s="304"/>
      <c r="AC2467" s="304"/>
      <c r="AD2467" s="304"/>
      <c r="AE2467" s="304"/>
    </row>
    <row r="2468" spans="2:31" ht="12">
      <c r="B2468" s="55"/>
      <c r="AB2468" s="304"/>
      <c r="AC2468" s="304"/>
      <c r="AD2468" s="304"/>
      <c r="AE2468" s="304"/>
    </row>
    <row r="2469" spans="2:31" ht="12">
      <c r="B2469" s="55"/>
      <c r="AB2469" s="304"/>
      <c r="AC2469" s="304"/>
      <c r="AD2469" s="304"/>
      <c r="AE2469" s="304"/>
    </row>
    <row r="2470" spans="2:31" ht="12">
      <c r="B2470" s="55"/>
      <c r="AB2470" s="304"/>
      <c r="AC2470" s="304"/>
      <c r="AD2470" s="304"/>
      <c r="AE2470" s="304"/>
    </row>
    <row r="2471" spans="2:31" ht="12">
      <c r="B2471" s="55"/>
      <c r="AB2471" s="304"/>
      <c r="AC2471" s="304"/>
      <c r="AD2471" s="304"/>
      <c r="AE2471" s="304"/>
    </row>
    <row r="2472" spans="2:31" ht="12">
      <c r="B2472" s="55"/>
      <c r="AB2472" s="304"/>
      <c r="AC2472" s="304"/>
      <c r="AD2472" s="304"/>
      <c r="AE2472" s="304"/>
    </row>
    <row r="2473" spans="2:31" ht="12">
      <c r="B2473" s="55"/>
      <c r="AB2473" s="304"/>
      <c r="AC2473" s="304"/>
      <c r="AD2473" s="304"/>
      <c r="AE2473" s="304"/>
    </row>
    <row r="2474" spans="2:31" ht="12">
      <c r="B2474" s="55"/>
      <c r="AB2474" s="304"/>
      <c r="AC2474" s="304"/>
      <c r="AD2474" s="304"/>
      <c r="AE2474" s="304"/>
    </row>
    <row r="2475" spans="2:31" ht="12">
      <c r="B2475" s="55"/>
      <c r="AB2475" s="304"/>
      <c r="AC2475" s="304"/>
      <c r="AD2475" s="304"/>
      <c r="AE2475" s="304"/>
    </row>
    <row r="2476" spans="2:31" ht="12">
      <c r="B2476" s="55"/>
      <c r="AB2476" s="304"/>
      <c r="AC2476" s="304"/>
      <c r="AD2476" s="304"/>
      <c r="AE2476" s="304"/>
    </row>
    <row r="2477" spans="2:31" ht="12">
      <c r="B2477" s="55"/>
      <c r="AB2477" s="304"/>
      <c r="AC2477" s="304"/>
      <c r="AD2477" s="304"/>
      <c r="AE2477" s="304"/>
    </row>
    <row r="2478" spans="2:31" ht="12">
      <c r="B2478" s="55"/>
      <c r="AB2478" s="304"/>
      <c r="AC2478" s="304"/>
      <c r="AD2478" s="304"/>
      <c r="AE2478" s="304"/>
    </row>
    <row r="2479" spans="2:31" ht="12">
      <c r="B2479" s="55"/>
      <c r="AB2479" s="304"/>
      <c r="AC2479" s="304"/>
      <c r="AD2479" s="304"/>
      <c r="AE2479" s="304"/>
    </row>
    <row r="2480" spans="2:31" ht="12">
      <c r="B2480" s="55"/>
      <c r="AB2480" s="304"/>
      <c r="AC2480" s="304"/>
      <c r="AD2480" s="304"/>
      <c r="AE2480" s="304"/>
    </row>
    <row r="2481" spans="2:31" ht="12">
      <c r="B2481" s="55"/>
      <c r="AB2481" s="304"/>
      <c r="AC2481" s="304"/>
      <c r="AD2481" s="304"/>
      <c r="AE2481" s="304"/>
    </row>
    <row r="2482" spans="2:31" ht="12">
      <c r="B2482" s="55"/>
      <c r="AB2482" s="304"/>
      <c r="AC2482" s="304"/>
      <c r="AD2482" s="304"/>
      <c r="AE2482" s="304"/>
    </row>
    <row r="2483" spans="2:31" ht="12">
      <c r="B2483" s="55"/>
      <c r="AB2483" s="304"/>
      <c r="AC2483" s="304"/>
      <c r="AD2483" s="304"/>
      <c r="AE2483" s="304"/>
    </row>
    <row r="2484" spans="2:31" ht="12">
      <c r="B2484" s="55"/>
      <c r="AB2484" s="304"/>
      <c r="AC2484" s="304"/>
      <c r="AD2484" s="304"/>
      <c r="AE2484" s="304"/>
    </row>
    <row r="2485" spans="2:31" ht="12">
      <c r="B2485" s="55"/>
      <c r="AB2485" s="304"/>
      <c r="AC2485" s="304"/>
      <c r="AD2485" s="304"/>
      <c r="AE2485" s="304"/>
    </row>
    <row r="2486" spans="2:31" ht="12">
      <c r="B2486" s="55"/>
      <c r="AB2486" s="304"/>
      <c r="AC2486" s="304"/>
      <c r="AD2486" s="304"/>
      <c r="AE2486" s="304"/>
    </row>
    <row r="2487" spans="2:31" ht="12">
      <c r="B2487" s="55"/>
      <c r="AB2487" s="304"/>
      <c r="AC2487" s="304"/>
      <c r="AD2487" s="304"/>
      <c r="AE2487" s="304"/>
    </row>
    <row r="2488" spans="2:31" ht="12">
      <c r="B2488" s="55"/>
      <c r="AB2488" s="304"/>
      <c r="AC2488" s="304"/>
      <c r="AD2488" s="304"/>
      <c r="AE2488" s="304"/>
    </row>
    <row r="2489" spans="2:31" ht="12">
      <c r="B2489" s="55"/>
      <c r="AB2489" s="304"/>
      <c r="AC2489" s="304"/>
      <c r="AD2489" s="304"/>
      <c r="AE2489" s="304"/>
    </row>
    <row r="2490" spans="2:31" ht="12">
      <c r="B2490" s="55"/>
      <c r="AB2490" s="304"/>
      <c r="AC2490" s="304"/>
      <c r="AD2490" s="304"/>
      <c r="AE2490" s="304"/>
    </row>
    <row r="2491" spans="2:31" ht="12">
      <c r="B2491" s="55"/>
      <c r="AB2491" s="304"/>
      <c r="AC2491" s="304"/>
      <c r="AD2491" s="304"/>
      <c r="AE2491" s="304"/>
    </row>
    <row r="2492" spans="2:31" ht="12">
      <c r="B2492" s="55"/>
      <c r="AB2492" s="304"/>
      <c r="AC2492" s="304"/>
      <c r="AD2492" s="304"/>
      <c r="AE2492" s="304"/>
    </row>
    <row r="2493" spans="2:31" ht="12">
      <c r="B2493" s="55"/>
      <c r="AB2493" s="304"/>
      <c r="AC2493" s="304"/>
      <c r="AD2493" s="304"/>
      <c r="AE2493" s="304"/>
    </row>
    <row r="2494" spans="2:31" ht="12">
      <c r="B2494" s="55"/>
      <c r="AB2494" s="304"/>
      <c r="AC2494" s="304"/>
      <c r="AD2494" s="304"/>
      <c r="AE2494" s="304"/>
    </row>
    <row r="2495" spans="2:31" ht="12">
      <c r="B2495" s="55"/>
      <c r="AB2495" s="304"/>
      <c r="AC2495" s="304"/>
      <c r="AD2495" s="304"/>
      <c r="AE2495" s="304"/>
    </row>
    <row r="2496" spans="2:31" ht="12">
      <c r="B2496" s="55"/>
      <c r="AB2496" s="304"/>
      <c r="AC2496" s="304"/>
      <c r="AD2496" s="304"/>
      <c r="AE2496" s="304"/>
    </row>
    <row r="2497" spans="2:31" ht="12">
      <c r="B2497" s="55"/>
      <c r="AB2497" s="304"/>
      <c r="AC2497" s="304"/>
      <c r="AD2497" s="304"/>
      <c r="AE2497" s="304"/>
    </row>
    <row r="2498" spans="2:31" ht="12">
      <c r="B2498" s="55"/>
      <c r="AB2498" s="304"/>
      <c r="AC2498" s="304"/>
      <c r="AD2498" s="304"/>
      <c r="AE2498" s="304"/>
    </row>
    <row r="2499" spans="2:31" ht="12">
      <c r="B2499" s="55"/>
      <c r="AB2499" s="304"/>
      <c r="AC2499" s="304"/>
      <c r="AD2499" s="304"/>
      <c r="AE2499" s="304"/>
    </row>
    <row r="2500" spans="2:31" ht="12">
      <c r="B2500" s="55"/>
      <c r="AB2500" s="304"/>
      <c r="AC2500" s="304"/>
      <c r="AD2500" s="304"/>
      <c r="AE2500" s="304"/>
    </row>
    <row r="2501" spans="2:31" ht="12">
      <c r="B2501" s="55"/>
      <c r="AB2501" s="304"/>
      <c r="AC2501" s="304"/>
      <c r="AD2501" s="304"/>
      <c r="AE2501" s="304"/>
    </row>
    <row r="2502" spans="2:31" ht="12">
      <c r="B2502" s="55"/>
      <c r="AB2502" s="304"/>
      <c r="AC2502" s="304"/>
      <c r="AD2502" s="304"/>
      <c r="AE2502" s="304"/>
    </row>
    <row r="2503" spans="2:31" ht="12">
      <c r="B2503" s="55"/>
      <c r="AB2503" s="304"/>
      <c r="AC2503" s="304"/>
      <c r="AD2503" s="304"/>
      <c r="AE2503" s="304"/>
    </row>
    <row r="2504" spans="2:31" ht="12">
      <c r="B2504" s="55"/>
      <c r="AB2504" s="304"/>
      <c r="AC2504" s="304"/>
      <c r="AD2504" s="304"/>
      <c r="AE2504" s="304"/>
    </row>
    <row r="2505" spans="2:31" ht="12">
      <c r="B2505" s="55"/>
      <c r="AB2505" s="304"/>
      <c r="AC2505" s="304"/>
      <c r="AD2505" s="304"/>
      <c r="AE2505" s="304"/>
    </row>
    <row r="2506" spans="2:31" ht="12">
      <c r="B2506" s="55"/>
      <c r="AB2506" s="304"/>
      <c r="AC2506" s="304"/>
      <c r="AD2506" s="304"/>
      <c r="AE2506" s="304"/>
    </row>
    <row r="2507" spans="2:31" ht="12">
      <c r="B2507" s="55"/>
      <c r="AB2507" s="304"/>
      <c r="AC2507" s="304"/>
      <c r="AD2507" s="304"/>
      <c r="AE2507" s="304"/>
    </row>
    <row r="2508" spans="2:31" ht="12">
      <c r="B2508" s="55"/>
      <c r="AB2508" s="304"/>
      <c r="AC2508" s="304"/>
      <c r="AD2508" s="304"/>
      <c r="AE2508" s="304"/>
    </row>
    <row r="2509" spans="2:31" ht="12">
      <c r="B2509" s="55"/>
      <c r="AB2509" s="304"/>
      <c r="AC2509" s="304"/>
      <c r="AD2509" s="304"/>
      <c r="AE2509" s="304"/>
    </row>
    <row r="2510" spans="2:31" ht="12">
      <c r="B2510" s="55"/>
      <c r="AB2510" s="304"/>
      <c r="AC2510" s="304"/>
      <c r="AD2510" s="304"/>
      <c r="AE2510" s="304"/>
    </row>
    <row r="2511" spans="2:31" ht="12">
      <c r="B2511" s="55"/>
      <c r="AB2511" s="304"/>
      <c r="AC2511" s="304"/>
      <c r="AD2511" s="304"/>
      <c r="AE2511" s="304"/>
    </row>
    <row r="2512" spans="2:31" ht="12">
      <c r="B2512" s="55"/>
      <c r="AB2512" s="304"/>
      <c r="AC2512" s="304"/>
      <c r="AD2512" s="304"/>
      <c r="AE2512" s="304"/>
    </row>
    <row r="2513" spans="2:31" ht="12">
      <c r="B2513" s="55"/>
      <c r="AB2513" s="304"/>
      <c r="AC2513" s="304"/>
      <c r="AD2513" s="304"/>
      <c r="AE2513" s="304"/>
    </row>
    <row r="2514" spans="2:31" ht="12">
      <c r="B2514" s="55"/>
      <c r="AB2514" s="304"/>
      <c r="AC2514" s="304"/>
      <c r="AD2514" s="304"/>
      <c r="AE2514" s="304"/>
    </row>
    <row r="2515" spans="2:31" ht="12">
      <c r="B2515" s="55"/>
      <c r="AB2515" s="304"/>
      <c r="AC2515" s="304"/>
      <c r="AD2515" s="304"/>
      <c r="AE2515" s="304"/>
    </row>
    <row r="2516" spans="2:31" ht="12">
      <c r="B2516" s="55"/>
      <c r="AB2516" s="304"/>
      <c r="AC2516" s="304"/>
      <c r="AD2516" s="304"/>
      <c r="AE2516" s="304"/>
    </row>
    <row r="2517" spans="2:31" ht="12">
      <c r="B2517" s="55"/>
      <c r="AB2517" s="304"/>
      <c r="AC2517" s="304"/>
      <c r="AD2517" s="304"/>
      <c r="AE2517" s="304"/>
    </row>
    <row r="2518" spans="2:31" ht="12">
      <c r="B2518" s="55"/>
      <c r="AB2518" s="304"/>
      <c r="AC2518" s="304"/>
      <c r="AD2518" s="304"/>
      <c r="AE2518" s="304"/>
    </row>
    <row r="2519" spans="2:31" ht="12">
      <c r="B2519" s="55"/>
      <c r="AB2519" s="304"/>
      <c r="AC2519" s="304"/>
      <c r="AD2519" s="304"/>
      <c r="AE2519" s="304"/>
    </row>
    <row r="2520" spans="2:31" ht="12">
      <c r="B2520" s="55"/>
      <c r="AB2520" s="304"/>
      <c r="AC2520" s="304"/>
      <c r="AD2520" s="304"/>
      <c r="AE2520" s="304"/>
    </row>
    <row r="2521" spans="2:31" ht="12">
      <c r="B2521" s="55"/>
      <c r="AB2521" s="304"/>
      <c r="AC2521" s="304"/>
      <c r="AD2521" s="304"/>
      <c r="AE2521" s="304"/>
    </row>
    <row r="2522" spans="2:31" ht="12">
      <c r="B2522" s="55"/>
      <c r="AB2522" s="304"/>
      <c r="AC2522" s="304"/>
      <c r="AD2522" s="304"/>
      <c r="AE2522" s="304"/>
    </row>
    <row r="2523" spans="2:31" ht="12">
      <c r="B2523" s="55"/>
      <c r="AB2523" s="304"/>
      <c r="AC2523" s="304"/>
      <c r="AD2523" s="304"/>
      <c r="AE2523" s="304"/>
    </row>
    <row r="2524" spans="2:31" ht="12">
      <c r="B2524" s="55"/>
      <c r="AB2524" s="304"/>
      <c r="AC2524" s="304"/>
      <c r="AD2524" s="304"/>
      <c r="AE2524" s="304"/>
    </row>
    <row r="2525" spans="2:31" ht="12">
      <c r="B2525" s="55"/>
      <c r="AB2525" s="304"/>
      <c r="AC2525" s="304"/>
      <c r="AD2525" s="304"/>
      <c r="AE2525" s="304"/>
    </row>
    <row r="2526" spans="2:31" ht="12">
      <c r="B2526" s="55"/>
      <c r="AB2526" s="304"/>
      <c r="AC2526" s="304"/>
      <c r="AD2526" s="304"/>
      <c r="AE2526" s="304"/>
    </row>
    <row r="2527" spans="2:31" ht="12">
      <c r="B2527" s="55"/>
      <c r="AB2527" s="304"/>
      <c r="AC2527" s="304"/>
      <c r="AD2527" s="304"/>
      <c r="AE2527" s="304"/>
    </row>
    <row r="2528" spans="2:31" ht="12">
      <c r="B2528" s="55"/>
      <c r="AB2528" s="304"/>
      <c r="AC2528" s="304"/>
      <c r="AD2528" s="304"/>
      <c r="AE2528" s="304"/>
    </row>
    <row r="2529" spans="2:31" ht="12">
      <c r="B2529" s="55"/>
      <c r="AB2529" s="304"/>
      <c r="AC2529" s="304"/>
      <c r="AD2529" s="304"/>
      <c r="AE2529" s="304"/>
    </row>
    <row r="2530" spans="2:31" ht="12">
      <c r="B2530" s="55"/>
      <c r="AB2530" s="304"/>
      <c r="AC2530" s="304"/>
      <c r="AD2530" s="304"/>
      <c r="AE2530" s="304"/>
    </row>
    <row r="2531" spans="2:31" ht="12">
      <c r="B2531" s="55"/>
      <c r="AB2531" s="304"/>
      <c r="AC2531" s="304"/>
      <c r="AD2531" s="304"/>
      <c r="AE2531" s="304"/>
    </row>
    <row r="2532" spans="2:31" ht="12">
      <c r="B2532" s="55"/>
      <c r="AB2532" s="304"/>
      <c r="AC2532" s="304"/>
      <c r="AD2532" s="304"/>
      <c r="AE2532" s="304"/>
    </row>
    <row r="2533" spans="2:31" ht="12">
      <c r="B2533" s="55"/>
      <c r="AB2533" s="304"/>
      <c r="AC2533" s="304"/>
      <c r="AD2533" s="304"/>
      <c r="AE2533" s="304"/>
    </row>
    <row r="2534" spans="2:31" ht="12">
      <c r="B2534" s="55"/>
      <c r="AB2534" s="304"/>
      <c r="AC2534" s="304"/>
      <c r="AD2534" s="304"/>
      <c r="AE2534" s="304"/>
    </row>
    <row r="2535" spans="2:31" ht="12">
      <c r="B2535" s="55"/>
      <c r="AB2535" s="304"/>
      <c r="AC2535" s="304"/>
      <c r="AD2535" s="304"/>
      <c r="AE2535" s="304"/>
    </row>
    <row r="2536" spans="2:31" ht="12">
      <c r="B2536" s="55"/>
      <c r="AB2536" s="304"/>
      <c r="AC2536" s="304"/>
      <c r="AD2536" s="304"/>
      <c r="AE2536" s="304"/>
    </row>
    <row r="2537" spans="2:31" ht="12">
      <c r="B2537" s="55"/>
      <c r="AB2537" s="304"/>
      <c r="AC2537" s="304"/>
      <c r="AD2537" s="304"/>
      <c r="AE2537" s="304"/>
    </row>
    <row r="2538" spans="2:31" ht="12">
      <c r="B2538" s="55"/>
      <c r="AB2538" s="304"/>
      <c r="AC2538" s="304"/>
      <c r="AD2538" s="304"/>
      <c r="AE2538" s="304"/>
    </row>
    <row r="2539" spans="2:31" ht="12">
      <c r="B2539" s="55"/>
      <c r="AB2539" s="304"/>
      <c r="AC2539" s="304"/>
      <c r="AD2539" s="304"/>
      <c r="AE2539" s="304"/>
    </row>
    <row r="2540" spans="2:31" ht="12">
      <c r="B2540" s="55"/>
      <c r="AB2540" s="304"/>
      <c r="AC2540" s="304"/>
      <c r="AD2540" s="304"/>
      <c r="AE2540" s="304"/>
    </row>
    <row r="2541" spans="2:31" ht="12">
      <c r="B2541" s="55"/>
      <c r="AB2541" s="304"/>
      <c r="AC2541" s="304"/>
      <c r="AD2541" s="304"/>
      <c r="AE2541" s="304"/>
    </row>
    <row r="2542" spans="2:31" ht="12">
      <c r="B2542" s="55"/>
      <c r="AB2542" s="304"/>
      <c r="AC2542" s="304"/>
      <c r="AD2542" s="304"/>
      <c r="AE2542" s="304"/>
    </row>
    <row r="2543" spans="2:31" ht="12">
      <c r="B2543" s="55"/>
      <c r="AB2543" s="304"/>
      <c r="AC2543" s="304"/>
      <c r="AD2543" s="304"/>
      <c r="AE2543" s="304"/>
    </row>
    <row r="2544" spans="2:31" ht="12">
      <c r="B2544" s="55"/>
      <c r="AB2544" s="304"/>
      <c r="AC2544" s="304"/>
      <c r="AD2544" s="304"/>
      <c r="AE2544" s="304"/>
    </row>
    <row r="2545" spans="2:31" ht="12">
      <c r="B2545" s="55"/>
      <c r="AB2545" s="304"/>
      <c r="AC2545" s="304"/>
      <c r="AD2545" s="304"/>
      <c r="AE2545" s="304"/>
    </row>
    <row r="2546" spans="2:31" ht="12">
      <c r="B2546" s="55"/>
      <c r="AB2546" s="304"/>
      <c r="AC2546" s="304"/>
      <c r="AD2546" s="304"/>
      <c r="AE2546" s="304"/>
    </row>
    <row r="2547" spans="2:31" ht="12">
      <c r="B2547" s="55"/>
      <c r="AB2547" s="304"/>
      <c r="AC2547" s="304"/>
      <c r="AD2547" s="304"/>
      <c r="AE2547" s="304"/>
    </row>
    <row r="2548" spans="2:31" ht="12">
      <c r="B2548" s="55"/>
      <c r="AB2548" s="304"/>
      <c r="AC2548" s="304"/>
      <c r="AD2548" s="304"/>
      <c r="AE2548" s="304"/>
    </row>
    <row r="2549" spans="2:31" ht="12">
      <c r="B2549" s="55"/>
      <c r="AB2549" s="304"/>
      <c r="AC2549" s="304"/>
      <c r="AD2549" s="304"/>
      <c r="AE2549" s="304"/>
    </row>
    <row r="2550" spans="2:31" ht="12">
      <c r="B2550" s="55"/>
      <c r="AB2550" s="304"/>
      <c r="AC2550" s="304"/>
      <c r="AD2550" s="304"/>
      <c r="AE2550" s="304"/>
    </row>
    <row r="2551" spans="2:31" ht="12">
      <c r="B2551" s="55"/>
      <c r="AB2551" s="304"/>
      <c r="AC2551" s="304"/>
      <c r="AD2551" s="304"/>
      <c r="AE2551" s="304"/>
    </row>
    <row r="2552" spans="2:31" ht="12">
      <c r="B2552" s="55"/>
      <c r="AB2552" s="304"/>
      <c r="AC2552" s="304"/>
      <c r="AD2552" s="304"/>
      <c r="AE2552" s="304"/>
    </row>
    <row r="2553" spans="2:31" ht="12">
      <c r="B2553" s="55"/>
      <c r="AB2553" s="304"/>
      <c r="AC2553" s="304"/>
      <c r="AD2553" s="304"/>
      <c r="AE2553" s="304"/>
    </row>
    <row r="2554" spans="2:31" ht="12">
      <c r="B2554" s="55"/>
      <c r="AB2554" s="304"/>
      <c r="AC2554" s="304"/>
      <c r="AD2554" s="304"/>
      <c r="AE2554" s="304"/>
    </row>
    <row r="2555" spans="2:31" ht="12">
      <c r="B2555" s="55"/>
      <c r="AB2555" s="304"/>
      <c r="AC2555" s="304"/>
      <c r="AD2555" s="304"/>
      <c r="AE2555" s="304"/>
    </row>
    <row r="2556" spans="2:31" ht="12">
      <c r="B2556" s="55"/>
      <c r="AB2556" s="304"/>
      <c r="AC2556" s="304"/>
      <c r="AD2556" s="304"/>
      <c r="AE2556" s="304"/>
    </row>
    <row r="2557" spans="2:31" ht="12">
      <c r="B2557" s="55"/>
      <c r="AB2557" s="304"/>
      <c r="AC2557" s="304"/>
      <c r="AD2557" s="304"/>
      <c r="AE2557" s="304"/>
    </row>
    <row r="2558" spans="2:31" ht="12">
      <c r="B2558" s="55"/>
      <c r="AB2558" s="304"/>
      <c r="AC2558" s="304"/>
      <c r="AD2558" s="304"/>
      <c r="AE2558" s="304"/>
    </row>
    <row r="2559" spans="2:31" ht="12">
      <c r="B2559" s="55"/>
      <c r="AB2559" s="304"/>
      <c r="AC2559" s="304"/>
      <c r="AD2559" s="304"/>
      <c r="AE2559" s="304"/>
    </row>
    <row r="2560" spans="2:31" ht="12">
      <c r="B2560" s="55"/>
      <c r="AB2560" s="304"/>
      <c r="AC2560" s="304"/>
      <c r="AD2560" s="304"/>
      <c r="AE2560" s="304"/>
    </row>
    <row r="2561" spans="2:31" ht="12">
      <c r="B2561" s="55"/>
      <c r="AB2561" s="304"/>
      <c r="AC2561" s="304"/>
      <c r="AD2561" s="304"/>
      <c r="AE2561" s="304"/>
    </row>
    <row r="2562" spans="2:31" ht="12">
      <c r="B2562" s="55"/>
      <c r="AB2562" s="304"/>
      <c r="AC2562" s="304"/>
      <c r="AD2562" s="304"/>
      <c r="AE2562" s="304"/>
    </row>
    <row r="2563" spans="2:31" ht="12">
      <c r="B2563" s="55"/>
      <c r="AB2563" s="304"/>
      <c r="AC2563" s="304"/>
      <c r="AD2563" s="304"/>
      <c r="AE2563" s="304"/>
    </row>
    <row r="2564" spans="2:31" ht="12">
      <c r="B2564" s="55"/>
      <c r="AB2564" s="304"/>
      <c r="AC2564" s="304"/>
      <c r="AD2564" s="304"/>
      <c r="AE2564" s="304"/>
    </row>
    <row r="2565" spans="2:31" ht="12">
      <c r="B2565" s="55"/>
      <c r="AB2565" s="304"/>
      <c r="AC2565" s="304"/>
      <c r="AD2565" s="304"/>
      <c r="AE2565" s="304"/>
    </row>
    <row r="2566" spans="2:31" ht="12">
      <c r="B2566" s="55"/>
      <c r="AB2566" s="304"/>
      <c r="AC2566" s="304"/>
      <c r="AD2566" s="304"/>
      <c r="AE2566" s="304"/>
    </row>
    <row r="2567" spans="2:31" ht="12">
      <c r="B2567" s="55"/>
      <c r="AB2567" s="304"/>
      <c r="AC2567" s="304"/>
      <c r="AD2567" s="304"/>
      <c r="AE2567" s="304"/>
    </row>
    <row r="2568" spans="2:31" ht="12">
      <c r="B2568" s="55"/>
      <c r="AB2568" s="304"/>
      <c r="AC2568" s="304"/>
      <c r="AD2568" s="304"/>
      <c r="AE2568" s="304"/>
    </row>
    <row r="2569" spans="2:31" ht="12">
      <c r="B2569" s="55"/>
      <c r="AB2569" s="304"/>
      <c r="AC2569" s="304"/>
      <c r="AD2569" s="304"/>
      <c r="AE2569" s="304"/>
    </row>
    <row r="2570" spans="2:31" ht="12">
      <c r="B2570" s="55"/>
      <c r="AB2570" s="304"/>
      <c r="AC2570" s="304"/>
      <c r="AD2570" s="304"/>
      <c r="AE2570" s="304"/>
    </row>
    <row r="2571" spans="2:31" ht="12">
      <c r="B2571" s="55"/>
      <c r="AB2571" s="304"/>
      <c r="AC2571" s="304"/>
      <c r="AD2571" s="304"/>
      <c r="AE2571" s="304"/>
    </row>
    <row r="2572" spans="2:31" ht="12">
      <c r="B2572" s="55"/>
      <c r="AB2572" s="304"/>
      <c r="AC2572" s="304"/>
      <c r="AD2572" s="304"/>
      <c r="AE2572" s="304"/>
    </row>
    <row r="2573" spans="2:31" ht="12">
      <c r="B2573" s="55"/>
      <c r="AB2573" s="304"/>
      <c r="AC2573" s="304"/>
      <c r="AD2573" s="304"/>
      <c r="AE2573" s="304"/>
    </row>
    <row r="2574" spans="2:31" ht="12">
      <c r="B2574" s="55"/>
      <c r="AB2574" s="304"/>
      <c r="AC2574" s="304"/>
      <c r="AD2574" s="304"/>
      <c r="AE2574" s="304"/>
    </row>
    <row r="2575" spans="2:31" ht="12">
      <c r="B2575" s="55"/>
      <c r="AB2575" s="304"/>
      <c r="AC2575" s="304"/>
      <c r="AD2575" s="304"/>
      <c r="AE2575" s="304"/>
    </row>
    <row r="2576" spans="2:31" ht="12">
      <c r="B2576" s="55"/>
      <c r="AB2576" s="304"/>
      <c r="AC2576" s="304"/>
      <c r="AD2576" s="304"/>
      <c r="AE2576" s="304"/>
    </row>
    <row r="2577" spans="2:31" ht="12">
      <c r="B2577" s="55"/>
      <c r="AB2577" s="304"/>
      <c r="AC2577" s="304"/>
      <c r="AD2577" s="304"/>
      <c r="AE2577" s="304"/>
    </row>
    <row r="2578" spans="2:31" ht="12">
      <c r="B2578" s="55"/>
      <c r="AB2578" s="304"/>
      <c r="AC2578" s="304"/>
      <c r="AD2578" s="304"/>
      <c r="AE2578" s="304"/>
    </row>
    <row r="2579" spans="2:31" ht="12">
      <c r="B2579" s="55"/>
      <c r="AB2579" s="304"/>
      <c r="AC2579" s="304"/>
      <c r="AD2579" s="304"/>
      <c r="AE2579" s="304"/>
    </row>
    <row r="2580" spans="2:31" ht="12">
      <c r="B2580" s="55"/>
      <c r="AB2580" s="304"/>
      <c r="AC2580" s="304"/>
      <c r="AD2580" s="304"/>
      <c r="AE2580" s="304"/>
    </row>
    <row r="2581" spans="2:31" ht="12">
      <c r="B2581" s="55"/>
      <c r="AB2581" s="304"/>
      <c r="AC2581" s="304"/>
      <c r="AD2581" s="304"/>
      <c r="AE2581" s="304"/>
    </row>
    <row r="2582" spans="2:31" ht="12">
      <c r="B2582" s="55"/>
      <c r="AB2582" s="304"/>
      <c r="AC2582" s="304"/>
      <c r="AD2582" s="304"/>
      <c r="AE2582" s="304"/>
    </row>
    <row r="2583" spans="2:31" ht="12">
      <c r="B2583" s="55"/>
      <c r="AB2583" s="304"/>
      <c r="AC2583" s="304"/>
      <c r="AD2583" s="304"/>
      <c r="AE2583" s="304"/>
    </row>
    <row r="2584" spans="2:31" ht="12">
      <c r="B2584" s="55"/>
      <c r="AB2584" s="304"/>
      <c r="AC2584" s="304"/>
      <c r="AD2584" s="304"/>
      <c r="AE2584" s="304"/>
    </row>
    <row r="2585" spans="2:31" ht="12">
      <c r="B2585" s="55"/>
      <c r="AB2585" s="304"/>
      <c r="AC2585" s="304"/>
      <c r="AD2585" s="304"/>
      <c r="AE2585" s="304"/>
    </row>
    <row r="2586" spans="2:31" ht="12">
      <c r="B2586" s="55"/>
      <c r="AB2586" s="304"/>
      <c r="AC2586" s="304"/>
      <c r="AD2586" s="304"/>
      <c r="AE2586" s="304"/>
    </row>
    <row r="2587" spans="2:31" ht="12">
      <c r="B2587" s="55"/>
      <c r="AB2587" s="304"/>
      <c r="AC2587" s="304"/>
      <c r="AD2587" s="304"/>
      <c r="AE2587" s="304"/>
    </row>
    <row r="2588" spans="2:31" ht="12">
      <c r="B2588" s="55"/>
      <c r="AB2588" s="304"/>
      <c r="AC2588" s="304"/>
      <c r="AD2588" s="304"/>
      <c r="AE2588" s="304"/>
    </row>
    <row r="2589" spans="2:31" ht="12">
      <c r="B2589" s="55"/>
      <c r="AB2589" s="304"/>
      <c r="AC2589" s="304"/>
      <c r="AD2589" s="304"/>
      <c r="AE2589" s="304"/>
    </row>
    <row r="2590" spans="2:31" ht="12">
      <c r="B2590" s="55"/>
      <c r="AB2590" s="304"/>
      <c r="AC2590" s="304"/>
      <c r="AD2590" s="304"/>
      <c r="AE2590" s="304"/>
    </row>
    <row r="2591" spans="2:31" ht="12">
      <c r="B2591" s="55"/>
      <c r="AB2591" s="304"/>
      <c r="AC2591" s="304"/>
      <c r="AD2591" s="304"/>
      <c r="AE2591" s="304"/>
    </row>
    <row r="2592" spans="2:31" ht="12">
      <c r="B2592" s="55"/>
      <c r="AB2592" s="304"/>
      <c r="AC2592" s="304"/>
      <c r="AD2592" s="304"/>
      <c r="AE2592" s="304"/>
    </row>
    <row r="2593" spans="2:31" ht="12">
      <c r="B2593" s="55"/>
      <c r="AB2593" s="304"/>
      <c r="AC2593" s="304"/>
      <c r="AD2593" s="304"/>
      <c r="AE2593" s="304"/>
    </row>
    <row r="2594" spans="2:31" ht="12">
      <c r="B2594" s="55"/>
      <c r="AB2594" s="304"/>
      <c r="AC2594" s="304"/>
      <c r="AD2594" s="304"/>
      <c r="AE2594" s="304"/>
    </row>
    <row r="2595" spans="2:31" ht="12">
      <c r="B2595" s="55"/>
      <c r="AB2595" s="304"/>
      <c r="AC2595" s="304"/>
      <c r="AD2595" s="304"/>
      <c r="AE2595" s="304"/>
    </row>
    <row r="2596" spans="2:31" ht="12">
      <c r="B2596" s="55"/>
      <c r="AB2596" s="304"/>
      <c r="AC2596" s="304"/>
      <c r="AD2596" s="304"/>
      <c r="AE2596" s="304"/>
    </row>
    <row r="2597" spans="2:31" ht="12">
      <c r="B2597" s="55"/>
      <c r="AB2597" s="304"/>
      <c r="AC2597" s="304"/>
      <c r="AD2597" s="304"/>
      <c r="AE2597" s="304"/>
    </row>
    <row r="2598" spans="2:31" ht="12">
      <c r="B2598" s="55"/>
      <c r="AB2598" s="304"/>
      <c r="AC2598" s="304"/>
      <c r="AD2598" s="304"/>
      <c r="AE2598" s="304"/>
    </row>
    <row r="2599" spans="2:31" ht="12">
      <c r="B2599" s="55"/>
      <c r="AB2599" s="304"/>
      <c r="AC2599" s="304"/>
      <c r="AD2599" s="304"/>
      <c r="AE2599" s="304"/>
    </row>
    <row r="2600" spans="2:31" ht="12">
      <c r="B2600" s="55"/>
      <c r="AB2600" s="304"/>
      <c r="AC2600" s="304"/>
      <c r="AD2600" s="304"/>
      <c r="AE2600" s="304"/>
    </row>
    <row r="2601" spans="2:31" ht="12">
      <c r="B2601" s="55"/>
      <c r="AB2601" s="304"/>
      <c r="AC2601" s="304"/>
      <c r="AD2601" s="304"/>
      <c r="AE2601" s="304"/>
    </row>
    <row r="2602" spans="2:31" ht="12">
      <c r="B2602" s="55"/>
      <c r="AB2602" s="304"/>
      <c r="AC2602" s="304"/>
      <c r="AD2602" s="304"/>
      <c r="AE2602" s="304"/>
    </row>
    <row r="2603" spans="2:31" ht="12">
      <c r="B2603" s="55"/>
      <c r="AB2603" s="304"/>
      <c r="AC2603" s="304"/>
      <c r="AD2603" s="304"/>
      <c r="AE2603" s="304"/>
    </row>
    <row r="2604" spans="2:31" ht="12">
      <c r="B2604" s="55"/>
      <c r="AB2604" s="304"/>
      <c r="AC2604" s="304"/>
      <c r="AD2604" s="304"/>
      <c r="AE2604" s="304"/>
    </row>
    <row r="2605" spans="2:31" ht="12">
      <c r="B2605" s="55"/>
      <c r="AB2605" s="304"/>
      <c r="AC2605" s="304"/>
      <c r="AD2605" s="304"/>
      <c r="AE2605" s="304"/>
    </row>
    <row r="2606" spans="2:31" ht="12">
      <c r="B2606" s="55"/>
      <c r="AB2606" s="304"/>
      <c r="AC2606" s="304"/>
      <c r="AD2606" s="304"/>
      <c r="AE2606" s="304"/>
    </row>
    <row r="2607" spans="2:31" ht="12">
      <c r="B2607" s="55"/>
      <c r="AB2607" s="304"/>
      <c r="AC2607" s="304"/>
      <c r="AD2607" s="304"/>
      <c r="AE2607" s="304"/>
    </row>
    <row r="2608" spans="2:31" ht="12">
      <c r="B2608" s="55"/>
      <c r="AB2608" s="304"/>
      <c r="AC2608" s="304"/>
      <c r="AD2608" s="304"/>
      <c r="AE2608" s="304"/>
    </row>
    <row r="2609" spans="2:31" ht="12">
      <c r="B2609" s="55"/>
      <c r="AB2609" s="304"/>
      <c r="AC2609" s="304"/>
      <c r="AD2609" s="304"/>
      <c r="AE2609" s="304"/>
    </row>
    <row r="2610" spans="2:31" ht="12">
      <c r="B2610" s="55"/>
      <c r="AB2610" s="304"/>
      <c r="AC2610" s="304"/>
      <c r="AD2610" s="304"/>
      <c r="AE2610" s="304"/>
    </row>
    <row r="2611" spans="2:31" ht="12">
      <c r="B2611" s="55"/>
      <c r="AB2611" s="304"/>
      <c r="AC2611" s="304"/>
      <c r="AD2611" s="304"/>
      <c r="AE2611" s="304"/>
    </row>
    <row r="2612" spans="2:31" ht="12">
      <c r="B2612" s="55"/>
      <c r="AB2612" s="304"/>
      <c r="AC2612" s="304"/>
      <c r="AD2612" s="304"/>
      <c r="AE2612" s="304"/>
    </row>
    <row r="2613" spans="2:31" ht="12">
      <c r="B2613" s="55"/>
      <c r="AB2613" s="304"/>
      <c r="AC2613" s="304"/>
      <c r="AD2613" s="304"/>
      <c r="AE2613" s="304"/>
    </row>
    <row r="2614" spans="2:31" ht="12">
      <c r="B2614" s="55"/>
      <c r="AB2614" s="304"/>
      <c r="AC2614" s="304"/>
      <c r="AD2614" s="304"/>
      <c r="AE2614" s="304"/>
    </row>
    <row r="2615" spans="2:31" ht="12">
      <c r="B2615" s="55"/>
      <c r="AB2615" s="304"/>
      <c r="AC2615" s="304"/>
      <c r="AD2615" s="304"/>
      <c r="AE2615" s="304"/>
    </row>
    <row r="2616" spans="2:31" ht="12">
      <c r="B2616" s="55"/>
      <c r="AB2616" s="304"/>
      <c r="AC2616" s="304"/>
      <c r="AD2616" s="304"/>
      <c r="AE2616" s="304"/>
    </row>
    <row r="2617" spans="2:31" ht="12">
      <c r="B2617" s="55"/>
      <c r="AB2617" s="304"/>
      <c r="AC2617" s="304"/>
      <c r="AD2617" s="304"/>
      <c r="AE2617" s="304"/>
    </row>
    <row r="2618" spans="2:31" ht="12">
      <c r="B2618" s="55"/>
      <c r="AB2618" s="304"/>
      <c r="AC2618" s="304"/>
      <c r="AD2618" s="304"/>
      <c r="AE2618" s="304"/>
    </row>
    <row r="2619" spans="2:31" ht="12">
      <c r="B2619" s="55"/>
      <c r="AB2619" s="304"/>
      <c r="AC2619" s="304"/>
      <c r="AD2619" s="304"/>
      <c r="AE2619" s="304"/>
    </row>
    <row r="2620" spans="2:31" ht="12">
      <c r="B2620" s="55"/>
      <c r="AB2620" s="304"/>
      <c r="AC2620" s="304"/>
      <c r="AD2620" s="304"/>
      <c r="AE2620" s="304"/>
    </row>
    <row r="2621" spans="2:31" ht="12">
      <c r="B2621" s="55"/>
      <c r="AB2621" s="304"/>
      <c r="AC2621" s="304"/>
      <c r="AD2621" s="304"/>
      <c r="AE2621" s="304"/>
    </row>
    <row r="2622" spans="2:31" ht="12">
      <c r="B2622" s="55"/>
      <c r="AB2622" s="304"/>
      <c r="AC2622" s="304"/>
      <c r="AD2622" s="304"/>
      <c r="AE2622" s="304"/>
    </row>
    <row r="2623" spans="2:31" ht="12">
      <c r="B2623" s="55"/>
      <c r="AB2623" s="304"/>
      <c r="AC2623" s="304"/>
      <c r="AD2623" s="304"/>
      <c r="AE2623" s="304"/>
    </row>
    <row r="2624" spans="2:31" ht="12">
      <c r="B2624" s="55"/>
      <c r="AB2624" s="304"/>
      <c r="AC2624" s="304"/>
      <c r="AD2624" s="304"/>
      <c r="AE2624" s="304"/>
    </row>
    <row r="2625" spans="2:31" ht="12">
      <c r="B2625" s="55"/>
      <c r="AB2625" s="304"/>
      <c r="AC2625" s="304"/>
      <c r="AD2625" s="304"/>
      <c r="AE2625" s="304"/>
    </row>
    <row r="2626" spans="2:31" ht="12">
      <c r="B2626" s="55"/>
      <c r="AB2626" s="304"/>
      <c r="AC2626" s="304"/>
      <c r="AD2626" s="304"/>
      <c r="AE2626" s="304"/>
    </row>
    <row r="2627" spans="2:31" ht="12">
      <c r="B2627" s="55"/>
      <c r="AB2627" s="304"/>
      <c r="AC2627" s="304"/>
      <c r="AD2627" s="304"/>
      <c r="AE2627" s="304"/>
    </row>
    <row r="2628" spans="2:31" ht="12">
      <c r="B2628" s="55"/>
      <c r="AB2628" s="304"/>
      <c r="AC2628" s="304"/>
      <c r="AD2628" s="304"/>
      <c r="AE2628" s="304"/>
    </row>
    <row r="2629" spans="2:31" ht="12">
      <c r="B2629" s="55"/>
      <c r="AB2629" s="304"/>
      <c r="AC2629" s="304"/>
      <c r="AD2629" s="304"/>
      <c r="AE2629" s="304"/>
    </row>
    <row r="2630" spans="2:31" ht="12">
      <c r="B2630" s="55"/>
      <c r="AB2630" s="304"/>
      <c r="AC2630" s="304"/>
      <c r="AD2630" s="304"/>
      <c r="AE2630" s="304"/>
    </row>
    <row r="2631" spans="2:31" ht="12">
      <c r="B2631" s="55"/>
      <c r="AB2631" s="304"/>
      <c r="AC2631" s="304"/>
      <c r="AD2631" s="304"/>
      <c r="AE2631" s="304"/>
    </row>
    <row r="2632" spans="2:31" ht="12">
      <c r="B2632" s="55"/>
      <c r="AB2632" s="304"/>
      <c r="AC2632" s="304"/>
      <c r="AD2632" s="304"/>
      <c r="AE2632" s="304"/>
    </row>
    <row r="2633" spans="2:31" ht="12">
      <c r="B2633" s="55"/>
      <c r="AB2633" s="304"/>
      <c r="AC2633" s="304"/>
      <c r="AD2633" s="304"/>
      <c r="AE2633" s="304"/>
    </row>
    <row r="2634" spans="2:31" ht="12">
      <c r="B2634" s="55"/>
      <c r="AB2634" s="304"/>
      <c r="AC2634" s="304"/>
      <c r="AD2634" s="304"/>
      <c r="AE2634" s="304"/>
    </row>
    <row r="2635" spans="2:31" ht="12">
      <c r="B2635" s="55"/>
      <c r="AB2635" s="304"/>
      <c r="AC2635" s="304"/>
      <c r="AD2635" s="304"/>
      <c r="AE2635" s="304"/>
    </row>
    <row r="2636" spans="2:31" ht="12">
      <c r="B2636" s="55"/>
      <c r="AB2636" s="304"/>
      <c r="AC2636" s="304"/>
      <c r="AD2636" s="304"/>
      <c r="AE2636" s="304"/>
    </row>
    <row r="2637" spans="2:31" ht="12">
      <c r="B2637" s="55"/>
      <c r="AB2637" s="304"/>
      <c r="AC2637" s="304"/>
      <c r="AD2637" s="304"/>
      <c r="AE2637" s="304"/>
    </row>
    <row r="2638" spans="2:31" ht="12">
      <c r="B2638" s="55"/>
      <c r="AB2638" s="304"/>
      <c r="AC2638" s="304"/>
      <c r="AD2638" s="304"/>
      <c r="AE2638" s="304"/>
    </row>
    <row r="2639" spans="2:31" ht="12">
      <c r="B2639" s="55"/>
      <c r="AB2639" s="304"/>
      <c r="AC2639" s="304"/>
      <c r="AD2639" s="304"/>
      <c r="AE2639" s="304"/>
    </row>
    <row r="2640" spans="2:31" ht="12">
      <c r="B2640" s="55"/>
      <c r="AB2640" s="304"/>
      <c r="AC2640" s="304"/>
      <c r="AD2640" s="304"/>
      <c r="AE2640" s="304"/>
    </row>
    <row r="2641" spans="2:31" ht="12">
      <c r="B2641" s="55"/>
      <c r="AB2641" s="304"/>
      <c r="AC2641" s="304"/>
      <c r="AD2641" s="304"/>
      <c r="AE2641" s="304"/>
    </row>
    <row r="2642" spans="2:31" ht="12">
      <c r="B2642" s="55"/>
      <c r="AB2642" s="304"/>
      <c r="AC2642" s="304"/>
      <c r="AD2642" s="304"/>
      <c r="AE2642" s="304"/>
    </row>
    <row r="2643" spans="2:31" ht="12">
      <c r="B2643" s="55"/>
      <c r="AB2643" s="304"/>
      <c r="AC2643" s="304"/>
      <c r="AD2643" s="304"/>
      <c r="AE2643" s="304"/>
    </row>
    <row r="2644" spans="2:31" ht="12">
      <c r="B2644" s="55"/>
      <c r="AB2644" s="304"/>
      <c r="AC2644" s="304"/>
      <c r="AD2644" s="304"/>
      <c r="AE2644" s="304"/>
    </row>
    <row r="2645" spans="2:31" ht="12">
      <c r="B2645" s="55"/>
      <c r="AB2645" s="304"/>
      <c r="AC2645" s="304"/>
      <c r="AD2645" s="304"/>
      <c r="AE2645" s="304"/>
    </row>
    <row r="2646" spans="2:31" ht="12">
      <c r="B2646" s="55"/>
      <c r="AB2646" s="304"/>
      <c r="AC2646" s="304"/>
      <c r="AD2646" s="304"/>
      <c r="AE2646" s="304"/>
    </row>
    <row r="2647" spans="2:31" ht="12">
      <c r="B2647" s="55"/>
      <c r="AB2647" s="304"/>
      <c r="AC2647" s="304"/>
      <c r="AD2647" s="304"/>
      <c r="AE2647" s="304"/>
    </row>
    <row r="2648" spans="2:31" ht="12">
      <c r="B2648" s="55"/>
      <c r="AB2648" s="304"/>
      <c r="AC2648" s="304"/>
      <c r="AD2648" s="304"/>
      <c r="AE2648" s="304"/>
    </row>
    <row r="2649" spans="2:31" ht="12">
      <c r="B2649" s="55"/>
      <c r="AB2649" s="304"/>
      <c r="AC2649" s="304"/>
      <c r="AD2649" s="304"/>
      <c r="AE2649" s="304"/>
    </row>
    <row r="2650" spans="2:31" ht="12">
      <c r="B2650" s="55"/>
      <c r="AB2650" s="304"/>
      <c r="AC2650" s="304"/>
      <c r="AD2650" s="304"/>
      <c r="AE2650" s="304"/>
    </row>
    <row r="2651" spans="2:31" ht="12">
      <c r="B2651" s="55"/>
      <c r="AB2651" s="304"/>
      <c r="AC2651" s="304"/>
      <c r="AD2651" s="304"/>
      <c r="AE2651" s="304"/>
    </row>
    <row r="2652" spans="2:31" ht="12">
      <c r="B2652" s="55"/>
      <c r="AB2652" s="304"/>
      <c r="AC2652" s="304"/>
      <c r="AD2652" s="304"/>
      <c r="AE2652" s="304"/>
    </row>
    <row r="2653" spans="2:31" ht="12">
      <c r="B2653" s="55"/>
      <c r="AB2653" s="304"/>
      <c r="AC2653" s="304"/>
      <c r="AD2653" s="304"/>
      <c r="AE2653" s="304"/>
    </row>
    <row r="2654" spans="2:31" ht="12">
      <c r="B2654" s="55"/>
      <c r="AB2654" s="304"/>
      <c r="AC2654" s="304"/>
      <c r="AD2654" s="304"/>
      <c r="AE2654" s="304"/>
    </row>
    <row r="2655" spans="2:31" ht="12">
      <c r="B2655" s="55"/>
      <c r="AB2655" s="304"/>
      <c r="AC2655" s="304"/>
      <c r="AD2655" s="304"/>
      <c r="AE2655" s="304"/>
    </row>
    <row r="2656" spans="2:31" ht="12">
      <c r="B2656" s="55"/>
      <c r="AB2656" s="304"/>
      <c r="AC2656" s="304"/>
      <c r="AD2656" s="304"/>
      <c r="AE2656" s="304"/>
    </row>
    <row r="2657" spans="2:31" ht="12">
      <c r="B2657" s="55"/>
      <c r="AB2657" s="304"/>
      <c r="AC2657" s="304"/>
      <c r="AD2657" s="304"/>
      <c r="AE2657" s="304"/>
    </row>
    <row r="2658" spans="2:31" ht="12">
      <c r="B2658" s="55"/>
      <c r="AB2658" s="304"/>
      <c r="AC2658" s="304"/>
      <c r="AD2658" s="304"/>
      <c r="AE2658" s="304"/>
    </row>
    <row r="2659" spans="2:31" ht="12">
      <c r="B2659" s="55"/>
      <c r="AB2659" s="304"/>
      <c r="AC2659" s="304"/>
      <c r="AD2659" s="304"/>
      <c r="AE2659" s="304"/>
    </row>
    <row r="2660" spans="2:31" ht="12">
      <c r="B2660" s="55"/>
      <c r="AB2660" s="304"/>
      <c r="AC2660" s="304"/>
      <c r="AD2660" s="304"/>
      <c r="AE2660" s="304"/>
    </row>
    <row r="2661" spans="2:31" ht="12">
      <c r="B2661" s="55"/>
      <c r="AB2661" s="304"/>
      <c r="AC2661" s="304"/>
      <c r="AD2661" s="304"/>
      <c r="AE2661" s="304"/>
    </row>
    <row r="2662" spans="2:31" ht="12">
      <c r="B2662" s="55"/>
      <c r="AB2662" s="304"/>
      <c r="AC2662" s="304"/>
      <c r="AD2662" s="304"/>
      <c r="AE2662" s="304"/>
    </row>
    <row r="2663" spans="2:31" ht="12">
      <c r="B2663" s="55"/>
      <c r="AB2663" s="304"/>
      <c r="AC2663" s="304"/>
      <c r="AD2663" s="304"/>
      <c r="AE2663" s="304"/>
    </row>
    <row r="2664" spans="2:31" ht="12">
      <c r="B2664" s="55"/>
      <c r="AB2664" s="304"/>
      <c r="AC2664" s="304"/>
      <c r="AD2664" s="304"/>
      <c r="AE2664" s="304"/>
    </row>
    <row r="2665" spans="2:31" ht="12">
      <c r="B2665" s="55"/>
      <c r="AB2665" s="304"/>
      <c r="AC2665" s="304"/>
      <c r="AD2665" s="304"/>
      <c r="AE2665" s="304"/>
    </row>
    <row r="2666" spans="2:31" ht="12">
      <c r="B2666" s="55"/>
      <c r="AB2666" s="304"/>
      <c r="AC2666" s="304"/>
      <c r="AD2666" s="304"/>
      <c r="AE2666" s="304"/>
    </row>
    <row r="2667" spans="2:31" ht="12">
      <c r="B2667" s="55"/>
      <c r="AB2667" s="304"/>
      <c r="AC2667" s="304"/>
      <c r="AD2667" s="304"/>
      <c r="AE2667" s="304"/>
    </row>
    <row r="2668" spans="2:31" ht="12">
      <c r="B2668" s="55"/>
      <c r="AB2668" s="304"/>
      <c r="AC2668" s="304"/>
      <c r="AD2668" s="304"/>
      <c r="AE2668" s="304"/>
    </row>
    <row r="2669" spans="2:31" ht="12">
      <c r="B2669" s="55"/>
      <c r="AB2669" s="304"/>
      <c r="AC2669" s="304"/>
      <c r="AD2669" s="304"/>
      <c r="AE2669" s="304"/>
    </row>
    <row r="2670" spans="2:31" ht="12">
      <c r="B2670" s="55"/>
      <c r="AB2670" s="304"/>
      <c r="AC2670" s="304"/>
      <c r="AD2670" s="304"/>
      <c r="AE2670" s="304"/>
    </row>
    <row r="2671" spans="2:31" ht="12">
      <c r="B2671" s="55"/>
      <c r="AB2671" s="304"/>
      <c r="AC2671" s="304"/>
      <c r="AD2671" s="304"/>
      <c r="AE2671" s="304"/>
    </row>
    <row r="2672" spans="2:31" ht="12">
      <c r="B2672" s="55"/>
      <c r="AB2672" s="304"/>
      <c r="AC2672" s="304"/>
      <c r="AD2672" s="304"/>
      <c r="AE2672" s="304"/>
    </row>
    <row r="2673" spans="2:31" ht="12">
      <c r="B2673" s="55"/>
      <c r="AB2673" s="304"/>
      <c r="AC2673" s="304"/>
      <c r="AD2673" s="304"/>
      <c r="AE2673" s="304"/>
    </row>
    <row r="2674" spans="2:31" ht="12">
      <c r="B2674" s="55"/>
      <c r="AB2674" s="304"/>
      <c r="AC2674" s="304"/>
      <c r="AD2674" s="304"/>
      <c r="AE2674" s="304"/>
    </row>
    <row r="2675" spans="2:31" ht="12">
      <c r="B2675" s="55"/>
      <c r="AB2675" s="304"/>
      <c r="AC2675" s="304"/>
      <c r="AD2675" s="304"/>
      <c r="AE2675" s="304"/>
    </row>
    <row r="2676" spans="2:31" ht="12">
      <c r="B2676" s="55"/>
      <c r="AB2676" s="304"/>
      <c r="AC2676" s="304"/>
      <c r="AD2676" s="304"/>
      <c r="AE2676" s="304"/>
    </row>
    <row r="2677" spans="2:31" ht="12">
      <c r="B2677" s="55"/>
      <c r="AB2677" s="304"/>
      <c r="AC2677" s="304"/>
      <c r="AD2677" s="304"/>
      <c r="AE2677" s="304"/>
    </row>
    <row r="2678" spans="2:31" ht="12">
      <c r="B2678" s="55"/>
      <c r="AB2678" s="304"/>
      <c r="AC2678" s="304"/>
      <c r="AD2678" s="304"/>
      <c r="AE2678" s="304"/>
    </row>
    <row r="2679" spans="2:31" ht="12">
      <c r="B2679" s="55"/>
      <c r="AB2679" s="304"/>
      <c r="AC2679" s="304"/>
      <c r="AD2679" s="304"/>
      <c r="AE2679" s="304"/>
    </row>
    <row r="2680" spans="2:31" ht="12">
      <c r="B2680" s="55"/>
      <c r="AB2680" s="304"/>
      <c r="AC2680" s="304"/>
      <c r="AD2680" s="304"/>
      <c r="AE2680" s="304"/>
    </row>
    <row r="2681" spans="2:31" ht="12">
      <c r="B2681" s="55"/>
      <c r="AB2681" s="304"/>
      <c r="AC2681" s="304"/>
      <c r="AD2681" s="304"/>
      <c r="AE2681" s="304"/>
    </row>
    <row r="2682" spans="2:31" ht="12">
      <c r="B2682" s="55"/>
      <c r="AB2682" s="304"/>
      <c r="AC2682" s="304"/>
      <c r="AD2682" s="304"/>
      <c r="AE2682" s="304"/>
    </row>
    <row r="2683" spans="2:31" ht="12">
      <c r="B2683" s="55"/>
      <c r="AB2683" s="304"/>
      <c r="AC2683" s="304"/>
      <c r="AD2683" s="304"/>
      <c r="AE2683" s="304"/>
    </row>
    <row r="2684" spans="2:31" ht="12">
      <c r="B2684" s="55"/>
      <c r="AB2684" s="304"/>
      <c r="AC2684" s="304"/>
      <c r="AD2684" s="304"/>
      <c r="AE2684" s="304"/>
    </row>
    <row r="2685" spans="2:31" ht="12">
      <c r="B2685" s="55"/>
      <c r="AB2685" s="304"/>
      <c r="AC2685" s="304"/>
      <c r="AD2685" s="304"/>
      <c r="AE2685" s="304"/>
    </row>
    <row r="2686" spans="2:31" ht="12">
      <c r="B2686" s="55"/>
      <c r="AB2686" s="304"/>
      <c r="AC2686" s="304"/>
      <c r="AD2686" s="304"/>
      <c r="AE2686" s="304"/>
    </row>
    <row r="2687" spans="2:31" ht="12">
      <c r="B2687" s="55"/>
      <c r="AB2687" s="304"/>
      <c r="AC2687" s="304"/>
      <c r="AD2687" s="304"/>
      <c r="AE2687" s="304"/>
    </row>
    <row r="2688" spans="2:31" ht="12">
      <c r="B2688" s="55"/>
      <c r="AB2688" s="304"/>
      <c r="AC2688" s="304"/>
      <c r="AD2688" s="304"/>
      <c r="AE2688" s="304"/>
    </row>
    <row r="2689" spans="2:31" ht="12">
      <c r="B2689" s="55"/>
      <c r="AB2689" s="304"/>
      <c r="AC2689" s="304"/>
      <c r="AD2689" s="304"/>
      <c r="AE2689" s="304"/>
    </row>
    <row r="2690" spans="2:31" ht="12">
      <c r="B2690" s="55"/>
      <c r="AB2690" s="304"/>
      <c r="AC2690" s="304"/>
      <c r="AD2690" s="304"/>
      <c r="AE2690" s="304"/>
    </row>
    <row r="2691" spans="2:31" ht="12">
      <c r="B2691" s="55"/>
      <c r="AB2691" s="304"/>
      <c r="AC2691" s="304"/>
      <c r="AD2691" s="304"/>
      <c r="AE2691" s="304"/>
    </row>
    <row r="2692" spans="2:31" ht="12">
      <c r="B2692" s="55"/>
      <c r="AB2692" s="304"/>
      <c r="AC2692" s="304"/>
      <c r="AD2692" s="304"/>
      <c r="AE2692" s="304"/>
    </row>
    <row r="2693" spans="2:31" ht="12">
      <c r="B2693" s="55"/>
      <c r="AB2693" s="304"/>
      <c r="AC2693" s="304"/>
      <c r="AD2693" s="304"/>
      <c r="AE2693" s="304"/>
    </row>
    <row r="2694" spans="2:31" ht="12">
      <c r="B2694" s="55"/>
      <c r="AB2694" s="304"/>
      <c r="AC2694" s="304"/>
      <c r="AD2694" s="304"/>
      <c r="AE2694" s="304"/>
    </row>
    <row r="2695" spans="2:31" ht="12">
      <c r="B2695" s="55"/>
      <c r="AB2695" s="304"/>
      <c r="AC2695" s="304"/>
      <c r="AD2695" s="304"/>
      <c r="AE2695" s="304"/>
    </row>
    <row r="2696" spans="2:31" ht="12">
      <c r="B2696" s="55"/>
      <c r="AB2696" s="304"/>
      <c r="AC2696" s="304"/>
      <c r="AD2696" s="304"/>
      <c r="AE2696" s="304"/>
    </row>
    <row r="2697" spans="2:31" ht="12">
      <c r="B2697" s="55"/>
      <c r="AB2697" s="304"/>
      <c r="AC2697" s="304"/>
      <c r="AD2697" s="304"/>
      <c r="AE2697" s="304"/>
    </row>
    <row r="2698" spans="2:31" ht="12">
      <c r="B2698" s="55"/>
      <c r="AB2698" s="304"/>
      <c r="AC2698" s="304"/>
      <c r="AD2698" s="304"/>
      <c r="AE2698" s="304"/>
    </row>
    <row r="2699" spans="2:31" ht="12">
      <c r="B2699" s="55"/>
      <c r="AB2699" s="304"/>
      <c r="AC2699" s="304"/>
      <c r="AD2699" s="304"/>
      <c r="AE2699" s="304"/>
    </row>
    <row r="2700" spans="2:31" ht="12">
      <c r="B2700" s="55"/>
      <c r="AB2700" s="304"/>
      <c r="AC2700" s="304"/>
      <c r="AD2700" s="304"/>
      <c r="AE2700" s="304"/>
    </row>
    <row r="2701" spans="2:31" ht="12">
      <c r="B2701" s="55"/>
      <c r="AB2701" s="304"/>
      <c r="AC2701" s="304"/>
      <c r="AD2701" s="304"/>
      <c r="AE2701" s="304"/>
    </row>
    <row r="2702" spans="2:31" ht="12">
      <c r="B2702" s="55"/>
      <c r="AB2702" s="304"/>
      <c r="AC2702" s="304"/>
      <c r="AD2702" s="304"/>
      <c r="AE2702" s="304"/>
    </row>
    <row r="2703" spans="2:31" ht="12">
      <c r="B2703" s="55"/>
      <c r="AB2703" s="304"/>
      <c r="AC2703" s="304"/>
      <c r="AD2703" s="304"/>
      <c r="AE2703" s="304"/>
    </row>
    <row r="2704" spans="2:31" ht="12">
      <c r="B2704" s="55"/>
      <c r="AB2704" s="304"/>
      <c r="AC2704" s="304"/>
      <c r="AD2704" s="304"/>
      <c r="AE2704" s="304"/>
    </row>
    <row r="2705" spans="2:31" ht="12">
      <c r="B2705" s="55"/>
      <c r="AB2705" s="304"/>
      <c r="AC2705" s="304"/>
      <c r="AD2705" s="304"/>
      <c r="AE2705" s="304"/>
    </row>
    <row r="2706" spans="2:31" ht="12">
      <c r="B2706" s="55"/>
      <c r="AB2706" s="304"/>
      <c r="AC2706" s="304"/>
      <c r="AD2706" s="304"/>
      <c r="AE2706" s="304"/>
    </row>
    <row r="2707" spans="2:31" ht="12">
      <c r="B2707" s="55"/>
      <c r="AB2707" s="304"/>
      <c r="AC2707" s="304"/>
      <c r="AD2707" s="304"/>
      <c r="AE2707" s="304"/>
    </row>
    <row r="2708" spans="2:31" ht="12">
      <c r="B2708" s="55"/>
      <c r="AB2708" s="304"/>
      <c r="AC2708" s="304"/>
      <c r="AD2708" s="304"/>
      <c r="AE2708" s="304"/>
    </row>
    <row r="2709" spans="2:31" ht="12">
      <c r="B2709" s="55"/>
      <c r="AB2709" s="304"/>
      <c r="AC2709" s="304"/>
      <c r="AD2709" s="304"/>
      <c r="AE2709" s="304"/>
    </row>
    <row r="2710" spans="2:31" ht="12">
      <c r="B2710" s="55"/>
      <c r="AB2710" s="304"/>
      <c r="AC2710" s="304"/>
      <c r="AD2710" s="304"/>
      <c r="AE2710" s="304"/>
    </row>
    <row r="2711" spans="2:31" ht="12">
      <c r="B2711" s="55"/>
      <c r="AB2711" s="304"/>
      <c r="AC2711" s="304"/>
      <c r="AD2711" s="304"/>
      <c r="AE2711" s="304"/>
    </row>
    <row r="2712" spans="2:31" ht="12">
      <c r="B2712" s="55"/>
      <c r="AB2712" s="304"/>
      <c r="AC2712" s="304"/>
      <c r="AD2712" s="304"/>
      <c r="AE2712" s="304"/>
    </row>
    <row r="2713" spans="2:31" ht="12">
      <c r="B2713" s="55"/>
      <c r="AB2713" s="304"/>
      <c r="AC2713" s="304"/>
      <c r="AD2713" s="304"/>
      <c r="AE2713" s="304"/>
    </row>
    <row r="2714" spans="2:31" ht="12">
      <c r="B2714" s="55"/>
      <c r="AB2714" s="304"/>
      <c r="AC2714" s="304"/>
      <c r="AD2714" s="304"/>
      <c r="AE2714" s="304"/>
    </row>
    <row r="2715" spans="2:31" ht="12">
      <c r="B2715" s="55"/>
      <c r="AB2715" s="304"/>
      <c r="AC2715" s="304"/>
      <c r="AD2715" s="304"/>
      <c r="AE2715" s="304"/>
    </row>
    <row r="2716" spans="2:31" ht="12">
      <c r="B2716" s="55"/>
      <c r="AB2716" s="304"/>
      <c r="AC2716" s="304"/>
      <c r="AD2716" s="304"/>
      <c r="AE2716" s="304"/>
    </row>
    <row r="2717" spans="2:31" ht="12">
      <c r="B2717" s="55"/>
      <c r="AB2717" s="304"/>
      <c r="AC2717" s="304"/>
      <c r="AD2717" s="304"/>
      <c r="AE2717" s="304"/>
    </row>
    <row r="2718" spans="2:31" ht="12">
      <c r="B2718" s="55"/>
      <c r="AB2718" s="304"/>
      <c r="AC2718" s="304"/>
      <c r="AD2718" s="304"/>
      <c r="AE2718" s="304"/>
    </row>
    <row r="2719" spans="2:31" ht="12">
      <c r="B2719" s="55"/>
      <c r="AB2719" s="304"/>
      <c r="AC2719" s="304"/>
      <c r="AD2719" s="304"/>
      <c r="AE2719" s="304"/>
    </row>
    <row r="2720" spans="2:31" ht="12">
      <c r="B2720" s="55"/>
      <c r="AB2720" s="304"/>
      <c r="AC2720" s="304"/>
      <c r="AD2720" s="304"/>
      <c r="AE2720" s="304"/>
    </row>
    <row r="2721" spans="2:31" ht="12">
      <c r="B2721" s="55"/>
      <c r="AB2721" s="304"/>
      <c r="AC2721" s="304"/>
      <c r="AD2721" s="304"/>
      <c r="AE2721" s="304"/>
    </row>
    <row r="2722" spans="2:31" ht="12">
      <c r="B2722" s="55"/>
      <c r="AB2722" s="304"/>
      <c r="AC2722" s="304"/>
      <c r="AD2722" s="304"/>
      <c r="AE2722" s="304"/>
    </row>
    <row r="2723" spans="2:31" ht="12">
      <c r="B2723" s="55"/>
      <c r="AB2723" s="304"/>
      <c r="AC2723" s="304"/>
      <c r="AD2723" s="304"/>
      <c r="AE2723" s="304"/>
    </row>
    <row r="2724" spans="2:31" ht="12">
      <c r="B2724" s="55"/>
      <c r="AB2724" s="304"/>
      <c r="AC2724" s="304"/>
      <c r="AD2724" s="304"/>
      <c r="AE2724" s="304"/>
    </row>
    <row r="2725" spans="2:31" ht="12">
      <c r="B2725" s="55"/>
      <c r="AB2725" s="304"/>
      <c r="AC2725" s="304"/>
      <c r="AD2725" s="304"/>
      <c r="AE2725" s="304"/>
    </row>
    <row r="2726" spans="2:31" ht="12">
      <c r="B2726" s="55"/>
      <c r="AB2726" s="304"/>
      <c r="AC2726" s="304"/>
      <c r="AD2726" s="304"/>
      <c r="AE2726" s="304"/>
    </row>
    <row r="2727" spans="2:31" ht="12">
      <c r="B2727" s="55"/>
      <c r="AB2727" s="304"/>
      <c r="AC2727" s="304"/>
      <c r="AD2727" s="304"/>
      <c r="AE2727" s="304"/>
    </row>
    <row r="2728" spans="2:31" ht="12">
      <c r="B2728" s="55"/>
      <c r="AB2728" s="304"/>
      <c r="AC2728" s="304"/>
      <c r="AD2728" s="304"/>
      <c r="AE2728" s="304"/>
    </row>
    <row r="2729" spans="2:31" ht="12">
      <c r="B2729" s="55"/>
      <c r="AB2729" s="304"/>
      <c r="AC2729" s="304"/>
      <c r="AD2729" s="304"/>
      <c r="AE2729" s="304"/>
    </row>
    <row r="2730" spans="2:31" ht="12">
      <c r="B2730" s="55"/>
      <c r="AB2730" s="304"/>
      <c r="AC2730" s="304"/>
      <c r="AD2730" s="304"/>
      <c r="AE2730" s="304"/>
    </row>
    <row r="2731" spans="2:31" ht="12">
      <c r="B2731" s="55"/>
      <c r="AB2731" s="304"/>
      <c r="AC2731" s="304"/>
      <c r="AD2731" s="304"/>
      <c r="AE2731" s="304"/>
    </row>
    <row r="2732" spans="2:31" ht="12">
      <c r="B2732" s="55"/>
      <c r="AB2732" s="304"/>
      <c r="AC2732" s="304"/>
      <c r="AD2732" s="304"/>
      <c r="AE2732" s="304"/>
    </row>
    <row r="2733" spans="2:31" ht="12">
      <c r="B2733" s="55"/>
      <c r="AB2733" s="304"/>
      <c r="AC2733" s="304"/>
      <c r="AD2733" s="304"/>
      <c r="AE2733" s="304"/>
    </row>
    <row r="2734" spans="2:31" ht="12">
      <c r="B2734" s="55"/>
      <c r="AB2734" s="304"/>
      <c r="AC2734" s="304"/>
      <c r="AD2734" s="304"/>
      <c r="AE2734" s="304"/>
    </row>
    <row r="2735" spans="2:31" ht="12">
      <c r="B2735" s="55"/>
      <c r="AB2735" s="304"/>
      <c r="AC2735" s="304"/>
      <c r="AD2735" s="304"/>
      <c r="AE2735" s="304"/>
    </row>
    <row r="2736" spans="2:31" ht="12">
      <c r="B2736" s="55"/>
      <c r="AB2736" s="304"/>
      <c r="AC2736" s="304"/>
      <c r="AD2736" s="304"/>
      <c r="AE2736" s="304"/>
    </row>
    <row r="2737" spans="2:31" ht="12">
      <c r="B2737" s="55"/>
      <c r="AB2737" s="304"/>
      <c r="AC2737" s="304"/>
      <c r="AD2737" s="304"/>
      <c r="AE2737" s="304"/>
    </row>
    <row r="2738" spans="2:31" ht="12">
      <c r="B2738" s="55"/>
      <c r="AB2738" s="304"/>
      <c r="AC2738" s="304"/>
      <c r="AD2738" s="304"/>
      <c r="AE2738" s="304"/>
    </row>
    <row r="2739" spans="2:31" ht="12">
      <c r="B2739" s="55"/>
      <c r="AB2739" s="304"/>
      <c r="AC2739" s="304"/>
      <c r="AD2739" s="304"/>
      <c r="AE2739" s="304"/>
    </row>
    <row r="2740" spans="2:31" ht="12">
      <c r="B2740" s="55"/>
      <c r="AB2740" s="304"/>
      <c r="AC2740" s="304"/>
      <c r="AD2740" s="304"/>
      <c r="AE2740" s="304"/>
    </row>
    <row r="2741" spans="2:31" ht="12">
      <c r="B2741" s="55"/>
      <c r="AB2741" s="304"/>
      <c r="AC2741" s="304"/>
      <c r="AD2741" s="304"/>
      <c r="AE2741" s="304"/>
    </row>
    <row r="2742" spans="2:31" ht="12">
      <c r="B2742" s="55"/>
      <c r="AB2742" s="304"/>
      <c r="AC2742" s="304"/>
      <c r="AD2742" s="304"/>
      <c r="AE2742" s="304"/>
    </row>
    <row r="2743" spans="2:31" ht="12">
      <c r="B2743" s="55"/>
      <c r="AB2743" s="304"/>
      <c r="AC2743" s="304"/>
      <c r="AD2743" s="304"/>
      <c r="AE2743" s="304"/>
    </row>
    <row r="2744" spans="2:31" ht="12">
      <c r="B2744" s="55"/>
      <c r="AB2744" s="304"/>
      <c r="AC2744" s="304"/>
      <c r="AD2744" s="304"/>
      <c r="AE2744" s="304"/>
    </row>
    <row r="2745" spans="2:31" ht="12">
      <c r="B2745" s="55"/>
      <c r="AB2745" s="304"/>
      <c r="AC2745" s="304"/>
      <c r="AD2745" s="304"/>
      <c r="AE2745" s="304"/>
    </row>
    <row r="2746" spans="2:31" ht="12">
      <c r="B2746" s="55"/>
      <c r="AB2746" s="304"/>
      <c r="AC2746" s="304"/>
      <c r="AD2746" s="304"/>
      <c r="AE2746" s="304"/>
    </row>
    <row r="2747" spans="2:31" ht="12">
      <c r="B2747" s="55"/>
      <c r="AB2747" s="304"/>
      <c r="AC2747" s="304"/>
      <c r="AD2747" s="304"/>
      <c r="AE2747" s="304"/>
    </row>
    <row r="2748" spans="2:31" ht="12">
      <c r="B2748" s="55"/>
      <c r="AB2748" s="304"/>
      <c r="AC2748" s="304"/>
      <c r="AD2748" s="304"/>
      <c r="AE2748" s="304"/>
    </row>
    <row r="2749" spans="2:31" ht="12">
      <c r="B2749" s="55"/>
      <c r="AB2749" s="304"/>
      <c r="AC2749" s="304"/>
      <c r="AD2749" s="304"/>
      <c r="AE2749" s="304"/>
    </row>
    <row r="2750" spans="2:31" ht="12">
      <c r="B2750" s="55"/>
      <c r="AB2750" s="304"/>
      <c r="AC2750" s="304"/>
      <c r="AD2750" s="304"/>
      <c r="AE2750" s="304"/>
    </row>
    <row r="2751" spans="2:31" ht="12">
      <c r="B2751" s="55"/>
      <c r="AB2751" s="304"/>
      <c r="AC2751" s="304"/>
      <c r="AD2751" s="304"/>
      <c r="AE2751" s="304"/>
    </row>
    <row r="2752" spans="2:31" ht="12">
      <c r="B2752" s="55"/>
      <c r="AB2752" s="304"/>
      <c r="AC2752" s="304"/>
      <c r="AD2752" s="304"/>
      <c r="AE2752" s="304"/>
    </row>
    <row r="2753" spans="2:31" ht="12">
      <c r="B2753" s="55"/>
      <c r="AB2753" s="304"/>
      <c r="AC2753" s="304"/>
      <c r="AD2753" s="304"/>
      <c r="AE2753" s="304"/>
    </row>
    <row r="2754" spans="2:31" ht="12">
      <c r="B2754" s="55"/>
      <c r="AB2754" s="304"/>
      <c r="AC2754" s="304"/>
      <c r="AD2754" s="304"/>
      <c r="AE2754" s="304"/>
    </row>
    <row r="2755" spans="2:31" ht="12">
      <c r="B2755" s="55"/>
      <c r="AB2755" s="304"/>
      <c r="AC2755" s="304"/>
      <c r="AD2755" s="304"/>
      <c r="AE2755" s="304"/>
    </row>
    <row r="2756" spans="2:31" ht="12">
      <c r="B2756" s="55"/>
      <c r="AB2756" s="304"/>
      <c r="AC2756" s="304"/>
      <c r="AD2756" s="304"/>
      <c r="AE2756" s="304"/>
    </row>
    <row r="2757" spans="2:31" ht="12">
      <c r="B2757" s="55"/>
      <c r="AB2757" s="304"/>
      <c r="AC2757" s="304"/>
      <c r="AD2757" s="304"/>
      <c r="AE2757" s="304"/>
    </row>
    <row r="2758" spans="2:31" ht="12">
      <c r="B2758" s="55"/>
      <c r="AB2758" s="304"/>
      <c r="AC2758" s="304"/>
      <c r="AD2758" s="304"/>
      <c r="AE2758" s="304"/>
    </row>
    <row r="2759" spans="2:31" ht="12">
      <c r="B2759" s="55"/>
      <c r="AB2759" s="304"/>
      <c r="AC2759" s="304"/>
      <c r="AD2759" s="304"/>
      <c r="AE2759" s="304"/>
    </row>
    <row r="2760" spans="2:31" ht="12">
      <c r="B2760" s="55"/>
      <c r="AB2760" s="304"/>
      <c r="AC2760" s="304"/>
      <c r="AD2760" s="304"/>
      <c r="AE2760" s="304"/>
    </row>
    <row r="2761" spans="2:31" ht="12">
      <c r="B2761" s="55"/>
      <c r="AB2761" s="304"/>
      <c r="AC2761" s="304"/>
      <c r="AD2761" s="304"/>
      <c r="AE2761" s="304"/>
    </row>
    <row r="2762" spans="2:31" ht="12">
      <c r="B2762" s="55"/>
      <c r="AB2762" s="304"/>
      <c r="AC2762" s="304"/>
      <c r="AD2762" s="304"/>
      <c r="AE2762" s="304"/>
    </row>
    <row r="2763" spans="2:31" ht="12">
      <c r="B2763" s="55"/>
      <c r="AB2763" s="304"/>
      <c r="AC2763" s="304"/>
      <c r="AD2763" s="304"/>
      <c r="AE2763" s="304"/>
    </row>
    <row r="2764" spans="2:31" ht="12">
      <c r="B2764" s="55"/>
      <c r="AB2764" s="304"/>
      <c r="AC2764" s="304"/>
      <c r="AD2764" s="304"/>
      <c r="AE2764" s="304"/>
    </row>
    <row r="2765" spans="2:31" ht="12">
      <c r="B2765" s="55"/>
      <c r="AB2765" s="304"/>
      <c r="AC2765" s="304"/>
      <c r="AD2765" s="304"/>
      <c r="AE2765" s="304"/>
    </row>
    <row r="2766" spans="2:31" ht="12">
      <c r="B2766" s="55"/>
      <c r="AB2766" s="304"/>
      <c r="AC2766" s="304"/>
      <c r="AD2766" s="304"/>
      <c r="AE2766" s="304"/>
    </row>
    <row r="2767" spans="2:31" ht="12">
      <c r="B2767" s="55"/>
      <c r="AB2767" s="304"/>
      <c r="AC2767" s="304"/>
      <c r="AD2767" s="304"/>
      <c r="AE2767" s="304"/>
    </row>
    <row r="2768" spans="2:31" ht="12">
      <c r="B2768" s="55"/>
      <c r="AB2768" s="304"/>
      <c r="AC2768" s="304"/>
      <c r="AD2768" s="304"/>
      <c r="AE2768" s="304"/>
    </row>
    <row r="2769" spans="2:31" ht="12">
      <c r="B2769" s="55"/>
      <c r="AB2769" s="304"/>
      <c r="AC2769" s="304"/>
      <c r="AD2769" s="304"/>
      <c r="AE2769" s="304"/>
    </row>
    <row r="2770" spans="2:31" ht="12">
      <c r="B2770" s="55"/>
      <c r="AB2770" s="304"/>
      <c r="AC2770" s="304"/>
      <c r="AD2770" s="304"/>
      <c r="AE2770" s="304"/>
    </row>
    <row r="2771" spans="2:31" ht="12">
      <c r="B2771" s="55"/>
      <c r="AB2771" s="304"/>
      <c r="AC2771" s="304"/>
      <c r="AD2771" s="304"/>
      <c r="AE2771" s="304"/>
    </row>
    <row r="2772" spans="2:31" ht="12">
      <c r="B2772" s="55"/>
      <c r="AB2772" s="304"/>
      <c r="AC2772" s="304"/>
      <c r="AD2772" s="304"/>
      <c r="AE2772" s="304"/>
    </row>
    <row r="2773" spans="2:31" ht="12">
      <c r="B2773" s="55"/>
      <c r="AB2773" s="304"/>
      <c r="AC2773" s="304"/>
      <c r="AD2773" s="304"/>
      <c r="AE2773" s="304"/>
    </row>
    <row r="2774" spans="2:31" ht="12">
      <c r="B2774" s="55"/>
      <c r="AB2774" s="304"/>
      <c r="AC2774" s="304"/>
      <c r="AD2774" s="304"/>
      <c r="AE2774" s="304"/>
    </row>
    <row r="2775" spans="2:31" ht="12">
      <c r="B2775" s="55"/>
      <c r="AB2775" s="304"/>
      <c r="AC2775" s="304"/>
      <c r="AD2775" s="304"/>
      <c r="AE2775" s="304"/>
    </row>
    <row r="2776" spans="2:31" ht="12">
      <c r="B2776" s="55"/>
      <c r="AB2776" s="304"/>
      <c r="AC2776" s="304"/>
      <c r="AD2776" s="304"/>
      <c r="AE2776" s="304"/>
    </row>
    <row r="2777" spans="2:31" ht="12">
      <c r="B2777" s="55"/>
      <c r="AB2777" s="304"/>
      <c r="AC2777" s="304"/>
      <c r="AD2777" s="304"/>
      <c r="AE2777" s="304"/>
    </row>
    <row r="2778" spans="2:31" ht="12">
      <c r="B2778" s="55"/>
      <c r="AB2778" s="304"/>
      <c r="AC2778" s="304"/>
      <c r="AD2778" s="304"/>
      <c r="AE2778" s="304"/>
    </row>
    <row r="2779" spans="2:31" ht="12">
      <c r="B2779" s="55"/>
      <c r="AB2779" s="304"/>
      <c r="AC2779" s="304"/>
      <c r="AD2779" s="304"/>
      <c r="AE2779" s="304"/>
    </row>
    <row r="2780" spans="2:31" ht="12">
      <c r="B2780" s="55"/>
      <c r="AB2780" s="304"/>
      <c r="AC2780" s="304"/>
      <c r="AD2780" s="304"/>
      <c r="AE2780" s="304"/>
    </row>
    <row r="2781" spans="2:31" ht="12">
      <c r="B2781" s="55"/>
      <c r="AB2781" s="304"/>
      <c r="AC2781" s="304"/>
      <c r="AD2781" s="304"/>
      <c r="AE2781" s="304"/>
    </row>
    <row r="2782" spans="2:31" ht="12">
      <c r="B2782" s="55"/>
      <c r="AB2782" s="304"/>
      <c r="AC2782" s="304"/>
      <c r="AD2782" s="304"/>
      <c r="AE2782" s="304"/>
    </row>
    <row r="2783" spans="2:31" ht="12">
      <c r="B2783" s="55"/>
      <c r="AB2783" s="304"/>
      <c r="AC2783" s="304"/>
      <c r="AD2783" s="304"/>
      <c r="AE2783" s="304"/>
    </row>
    <row r="2784" spans="2:31" ht="12">
      <c r="B2784" s="55"/>
      <c r="AB2784" s="304"/>
      <c r="AC2784" s="304"/>
      <c r="AD2784" s="304"/>
      <c r="AE2784" s="304"/>
    </row>
    <row r="2785" spans="2:31" ht="12">
      <c r="B2785" s="55"/>
      <c r="AB2785" s="304"/>
      <c r="AC2785" s="304"/>
      <c r="AD2785" s="304"/>
      <c r="AE2785" s="304"/>
    </row>
    <row r="2786" spans="2:31" ht="12">
      <c r="B2786" s="55"/>
      <c r="AB2786" s="304"/>
      <c r="AC2786" s="304"/>
      <c r="AD2786" s="304"/>
      <c r="AE2786" s="304"/>
    </row>
    <row r="2787" spans="2:31" ht="12">
      <c r="B2787" s="55"/>
      <c r="AB2787" s="304"/>
      <c r="AC2787" s="304"/>
      <c r="AD2787" s="304"/>
      <c r="AE2787" s="304"/>
    </row>
    <row r="2788" spans="2:31" ht="12">
      <c r="B2788" s="55"/>
      <c r="AB2788" s="304"/>
      <c r="AC2788" s="304"/>
      <c r="AD2788" s="304"/>
      <c r="AE2788" s="304"/>
    </row>
    <row r="2789" spans="2:31" ht="12">
      <c r="B2789" s="55"/>
      <c r="AB2789" s="304"/>
      <c r="AC2789" s="304"/>
      <c r="AD2789" s="304"/>
      <c r="AE2789" s="304"/>
    </row>
    <row r="2790" spans="2:31" ht="12">
      <c r="B2790" s="55"/>
      <c r="AB2790" s="304"/>
      <c r="AC2790" s="304"/>
      <c r="AD2790" s="304"/>
      <c r="AE2790" s="304"/>
    </row>
    <row r="2791" spans="2:31" ht="12">
      <c r="B2791" s="55"/>
      <c r="AB2791" s="304"/>
      <c r="AC2791" s="304"/>
      <c r="AD2791" s="304"/>
      <c r="AE2791" s="304"/>
    </row>
    <row r="2792" spans="2:31" ht="12">
      <c r="B2792" s="55"/>
      <c r="AB2792" s="304"/>
      <c r="AC2792" s="304"/>
      <c r="AD2792" s="304"/>
      <c r="AE2792" s="304"/>
    </row>
    <row r="2793" spans="2:31" ht="12">
      <c r="B2793" s="55"/>
      <c r="AB2793" s="304"/>
      <c r="AC2793" s="304"/>
      <c r="AD2793" s="304"/>
      <c r="AE2793" s="304"/>
    </row>
    <row r="2794" spans="2:31" ht="12">
      <c r="B2794" s="55"/>
      <c r="AB2794" s="304"/>
      <c r="AC2794" s="304"/>
      <c r="AD2794" s="304"/>
      <c r="AE2794" s="304"/>
    </row>
    <row r="2795" spans="2:31" ht="12">
      <c r="B2795" s="55"/>
      <c r="AB2795" s="304"/>
      <c r="AC2795" s="304"/>
      <c r="AD2795" s="304"/>
      <c r="AE2795" s="304"/>
    </row>
    <row r="2796" spans="2:31" ht="12">
      <c r="B2796" s="55"/>
      <c r="AB2796" s="304"/>
      <c r="AC2796" s="304"/>
      <c r="AD2796" s="304"/>
      <c r="AE2796" s="304"/>
    </row>
    <row r="2797" spans="2:31" ht="12">
      <c r="B2797" s="55"/>
      <c r="AB2797" s="304"/>
      <c r="AC2797" s="304"/>
      <c r="AD2797" s="304"/>
      <c r="AE2797" s="304"/>
    </row>
    <row r="2798" spans="2:31" ht="12">
      <c r="B2798" s="55"/>
      <c r="AB2798" s="304"/>
      <c r="AC2798" s="304"/>
      <c r="AD2798" s="304"/>
      <c r="AE2798" s="304"/>
    </row>
    <row r="2799" spans="2:31" ht="12">
      <c r="B2799" s="55"/>
      <c r="AB2799" s="304"/>
      <c r="AC2799" s="304"/>
      <c r="AD2799" s="304"/>
      <c r="AE2799" s="304"/>
    </row>
    <row r="2800" spans="2:31" ht="12">
      <c r="B2800" s="55"/>
      <c r="AB2800" s="304"/>
      <c r="AC2800" s="304"/>
      <c r="AD2800" s="304"/>
      <c r="AE2800" s="304"/>
    </row>
    <row r="2801" spans="2:31" ht="12">
      <c r="B2801" s="55"/>
      <c r="AB2801" s="304"/>
      <c r="AC2801" s="304"/>
      <c r="AD2801" s="304"/>
      <c r="AE2801" s="304"/>
    </row>
    <row r="2802" spans="2:31" ht="12">
      <c r="B2802" s="55"/>
      <c r="AB2802" s="304"/>
      <c r="AC2802" s="304"/>
      <c r="AD2802" s="304"/>
      <c r="AE2802" s="304"/>
    </row>
    <row r="2803" spans="2:31" ht="12">
      <c r="B2803" s="55"/>
      <c r="AB2803" s="304"/>
      <c r="AC2803" s="304"/>
      <c r="AD2803" s="304"/>
      <c r="AE2803" s="304"/>
    </row>
    <row r="2804" spans="2:31" ht="12">
      <c r="B2804" s="55"/>
      <c r="AB2804" s="304"/>
      <c r="AC2804" s="304"/>
      <c r="AD2804" s="304"/>
      <c r="AE2804" s="304"/>
    </row>
    <row r="2805" spans="2:31" ht="12">
      <c r="B2805" s="55"/>
      <c r="AB2805" s="304"/>
      <c r="AC2805" s="304"/>
      <c r="AD2805" s="304"/>
      <c r="AE2805" s="304"/>
    </row>
    <row r="2806" spans="2:31" ht="12">
      <c r="B2806" s="55"/>
      <c r="AB2806" s="304"/>
      <c r="AC2806" s="304"/>
      <c r="AD2806" s="304"/>
      <c r="AE2806" s="304"/>
    </row>
    <row r="2807" spans="2:31" ht="12">
      <c r="B2807" s="55"/>
      <c r="AB2807" s="304"/>
      <c r="AC2807" s="304"/>
      <c r="AD2807" s="304"/>
      <c r="AE2807" s="304"/>
    </row>
    <row r="2808" spans="2:31" ht="12">
      <c r="B2808" s="55"/>
      <c r="AB2808" s="304"/>
      <c r="AC2808" s="304"/>
      <c r="AD2808" s="304"/>
      <c r="AE2808" s="304"/>
    </row>
    <row r="2809" spans="2:31" ht="12">
      <c r="B2809" s="55"/>
      <c r="AB2809" s="304"/>
      <c r="AC2809" s="304"/>
      <c r="AD2809" s="304"/>
      <c r="AE2809" s="304"/>
    </row>
    <row r="2810" spans="2:31" ht="12">
      <c r="B2810" s="55"/>
      <c r="AB2810" s="304"/>
      <c r="AC2810" s="304"/>
      <c r="AD2810" s="304"/>
      <c r="AE2810" s="304"/>
    </row>
    <row r="2811" spans="2:31" ht="12">
      <c r="B2811" s="55"/>
      <c r="AB2811" s="304"/>
      <c r="AC2811" s="304"/>
      <c r="AD2811" s="304"/>
      <c r="AE2811" s="304"/>
    </row>
    <row r="2812" spans="2:31" ht="12">
      <c r="B2812" s="55"/>
      <c r="AB2812" s="304"/>
      <c r="AC2812" s="304"/>
      <c r="AD2812" s="304"/>
      <c r="AE2812" s="304"/>
    </row>
    <row r="2813" spans="2:31" ht="12">
      <c r="B2813" s="55"/>
      <c r="AB2813" s="304"/>
      <c r="AC2813" s="304"/>
      <c r="AD2813" s="304"/>
      <c r="AE2813" s="304"/>
    </row>
    <row r="2814" spans="2:31" ht="12">
      <c r="B2814" s="55"/>
      <c r="AB2814" s="304"/>
      <c r="AC2814" s="304"/>
      <c r="AD2814" s="304"/>
      <c r="AE2814" s="304"/>
    </row>
    <row r="2815" spans="2:31" ht="12">
      <c r="B2815" s="55"/>
      <c r="AB2815" s="304"/>
      <c r="AC2815" s="304"/>
      <c r="AD2815" s="304"/>
      <c r="AE2815" s="304"/>
    </row>
    <row r="2816" spans="2:31" ht="12">
      <c r="B2816" s="55"/>
      <c r="AB2816" s="304"/>
      <c r="AC2816" s="304"/>
      <c r="AD2816" s="304"/>
      <c r="AE2816" s="304"/>
    </row>
    <row r="2817" spans="2:31" ht="12">
      <c r="B2817" s="55"/>
      <c r="AB2817" s="304"/>
      <c r="AC2817" s="304"/>
      <c r="AD2817" s="304"/>
      <c r="AE2817" s="304"/>
    </row>
    <row r="2818" spans="2:31" ht="12">
      <c r="B2818" s="55"/>
      <c r="AB2818" s="304"/>
      <c r="AC2818" s="304"/>
      <c r="AD2818" s="304"/>
      <c r="AE2818" s="304"/>
    </row>
    <row r="2819" spans="2:31" ht="12">
      <c r="B2819" s="55"/>
      <c r="AB2819" s="304"/>
      <c r="AC2819" s="304"/>
      <c r="AD2819" s="304"/>
      <c r="AE2819" s="304"/>
    </row>
    <row r="2820" spans="2:31" ht="12">
      <c r="B2820" s="55"/>
      <c r="AB2820" s="304"/>
      <c r="AC2820" s="304"/>
      <c r="AD2820" s="304"/>
      <c r="AE2820" s="304"/>
    </row>
    <row r="2821" spans="2:31" ht="12">
      <c r="B2821" s="55"/>
      <c r="AB2821" s="304"/>
      <c r="AC2821" s="304"/>
      <c r="AD2821" s="304"/>
      <c r="AE2821" s="304"/>
    </row>
    <row r="2822" spans="2:31" ht="12">
      <c r="B2822" s="55"/>
      <c r="AB2822" s="304"/>
      <c r="AC2822" s="304"/>
      <c r="AD2822" s="304"/>
      <c r="AE2822" s="304"/>
    </row>
    <row r="2823" spans="2:31" ht="12">
      <c r="B2823" s="55"/>
      <c r="AB2823" s="304"/>
      <c r="AC2823" s="304"/>
      <c r="AD2823" s="304"/>
      <c r="AE2823" s="304"/>
    </row>
    <row r="2824" spans="2:31" ht="12">
      <c r="B2824" s="55"/>
      <c r="AB2824" s="304"/>
      <c r="AC2824" s="304"/>
      <c r="AD2824" s="304"/>
      <c r="AE2824" s="304"/>
    </row>
    <row r="2825" spans="2:31" ht="12">
      <c r="B2825" s="55"/>
      <c r="AB2825" s="304"/>
      <c r="AC2825" s="304"/>
      <c r="AD2825" s="304"/>
      <c r="AE2825" s="304"/>
    </row>
    <row r="2826" spans="2:31" ht="12">
      <c r="B2826" s="55"/>
      <c r="AB2826" s="304"/>
      <c r="AC2826" s="304"/>
      <c r="AD2826" s="304"/>
      <c r="AE2826" s="304"/>
    </row>
    <row r="2827" spans="2:31" ht="12">
      <c r="B2827" s="55"/>
      <c r="AB2827" s="304"/>
      <c r="AC2827" s="304"/>
      <c r="AD2827" s="304"/>
      <c r="AE2827" s="304"/>
    </row>
    <row r="2828" spans="2:31" ht="12">
      <c r="B2828" s="55"/>
      <c r="AB2828" s="304"/>
      <c r="AC2828" s="304"/>
      <c r="AD2828" s="304"/>
      <c r="AE2828" s="304"/>
    </row>
    <row r="2829" spans="2:31" ht="12">
      <c r="B2829" s="55"/>
      <c r="AB2829" s="304"/>
      <c r="AC2829" s="304"/>
      <c r="AD2829" s="304"/>
      <c r="AE2829" s="304"/>
    </row>
    <row r="2830" spans="2:31" ht="12">
      <c r="B2830" s="55"/>
      <c r="AB2830" s="304"/>
      <c r="AC2830" s="304"/>
      <c r="AD2830" s="304"/>
      <c r="AE2830" s="304"/>
    </row>
    <row r="2831" spans="2:31" ht="12">
      <c r="B2831" s="55"/>
      <c r="AB2831" s="304"/>
      <c r="AC2831" s="304"/>
      <c r="AD2831" s="304"/>
      <c r="AE2831" s="304"/>
    </row>
    <row r="2832" spans="2:31" ht="12">
      <c r="B2832" s="55"/>
      <c r="AB2832" s="304"/>
      <c r="AC2832" s="304"/>
      <c r="AD2832" s="304"/>
      <c r="AE2832" s="304"/>
    </row>
    <row r="2833" spans="2:31" ht="12">
      <c r="B2833" s="55"/>
      <c r="AB2833" s="304"/>
      <c r="AC2833" s="304"/>
      <c r="AD2833" s="304"/>
      <c r="AE2833" s="304"/>
    </row>
    <row r="2834" spans="2:31" ht="12">
      <c r="B2834" s="55"/>
      <c r="AB2834" s="304"/>
      <c r="AC2834" s="304"/>
      <c r="AD2834" s="304"/>
      <c r="AE2834" s="304"/>
    </row>
    <row r="2835" spans="2:31" ht="12">
      <c r="B2835" s="55"/>
      <c r="AB2835" s="304"/>
      <c r="AC2835" s="304"/>
      <c r="AD2835" s="304"/>
      <c r="AE2835" s="304"/>
    </row>
    <row r="2836" spans="2:31" ht="12">
      <c r="B2836" s="55"/>
      <c r="AB2836" s="304"/>
      <c r="AC2836" s="304"/>
      <c r="AD2836" s="304"/>
      <c r="AE2836" s="304"/>
    </row>
    <row r="2837" spans="2:31" ht="12">
      <c r="B2837" s="55"/>
      <c r="AB2837" s="304"/>
      <c r="AC2837" s="304"/>
      <c r="AD2837" s="304"/>
      <c r="AE2837" s="304"/>
    </row>
    <row r="2838" spans="2:31" ht="12">
      <c r="B2838" s="55"/>
      <c r="AB2838" s="304"/>
      <c r="AC2838" s="304"/>
      <c r="AD2838" s="304"/>
      <c r="AE2838" s="304"/>
    </row>
    <row r="2839" spans="2:31" ht="12">
      <c r="B2839" s="55"/>
      <c r="AB2839" s="304"/>
      <c r="AC2839" s="304"/>
      <c r="AD2839" s="304"/>
      <c r="AE2839" s="304"/>
    </row>
    <row r="2840" spans="2:31" ht="12">
      <c r="B2840" s="55"/>
      <c r="AB2840" s="304"/>
      <c r="AC2840" s="304"/>
      <c r="AD2840" s="304"/>
      <c r="AE2840" s="304"/>
    </row>
    <row r="2841" spans="2:31" ht="12">
      <c r="B2841" s="55"/>
      <c r="AB2841" s="304"/>
      <c r="AC2841" s="304"/>
      <c r="AD2841" s="304"/>
      <c r="AE2841" s="304"/>
    </row>
    <row r="2842" spans="2:31" ht="12">
      <c r="B2842" s="55"/>
      <c r="AB2842" s="304"/>
      <c r="AC2842" s="304"/>
      <c r="AD2842" s="304"/>
      <c r="AE2842" s="304"/>
    </row>
    <row r="2843" spans="2:31" ht="12">
      <c r="B2843" s="55"/>
      <c r="AB2843" s="304"/>
      <c r="AC2843" s="304"/>
      <c r="AD2843" s="304"/>
      <c r="AE2843" s="304"/>
    </row>
    <row r="2844" spans="2:31" ht="12">
      <c r="B2844" s="55"/>
      <c r="AB2844" s="304"/>
      <c r="AC2844" s="304"/>
      <c r="AD2844" s="304"/>
      <c r="AE2844" s="304"/>
    </row>
    <row r="2845" spans="2:31" ht="12">
      <c r="B2845" s="55"/>
      <c r="AB2845" s="304"/>
      <c r="AC2845" s="304"/>
      <c r="AD2845" s="304"/>
      <c r="AE2845" s="304"/>
    </row>
    <row r="2846" spans="2:31" ht="12">
      <c r="B2846" s="55"/>
      <c r="AB2846" s="304"/>
      <c r="AC2846" s="304"/>
      <c r="AD2846" s="304"/>
      <c r="AE2846" s="304"/>
    </row>
    <row r="2847" spans="2:31" ht="12">
      <c r="B2847" s="55"/>
      <c r="AB2847" s="304"/>
      <c r="AC2847" s="304"/>
      <c r="AD2847" s="304"/>
      <c r="AE2847" s="304"/>
    </row>
    <row r="2848" spans="2:31" ht="12">
      <c r="B2848" s="55"/>
      <c r="AB2848" s="304"/>
      <c r="AC2848" s="304"/>
      <c r="AD2848" s="304"/>
      <c r="AE2848" s="304"/>
    </row>
    <row r="2849" spans="2:31" ht="12">
      <c r="B2849" s="55"/>
      <c r="AB2849" s="304"/>
      <c r="AC2849" s="304"/>
      <c r="AD2849" s="304"/>
      <c r="AE2849" s="304"/>
    </row>
    <row r="2850" spans="2:31" ht="12">
      <c r="B2850" s="55"/>
      <c r="AB2850" s="304"/>
      <c r="AC2850" s="304"/>
      <c r="AD2850" s="304"/>
      <c r="AE2850" s="304"/>
    </row>
    <row r="2851" spans="2:31" ht="12">
      <c r="B2851" s="55"/>
      <c r="AB2851" s="304"/>
      <c r="AC2851" s="304"/>
      <c r="AD2851" s="304"/>
      <c r="AE2851" s="304"/>
    </row>
    <row r="2852" spans="2:31" ht="12">
      <c r="B2852" s="55"/>
      <c r="AB2852" s="304"/>
      <c r="AC2852" s="304"/>
      <c r="AD2852" s="304"/>
      <c r="AE2852" s="304"/>
    </row>
    <row r="2853" spans="2:31" ht="12">
      <c r="B2853" s="55"/>
      <c r="AB2853" s="304"/>
      <c r="AC2853" s="304"/>
      <c r="AD2853" s="304"/>
      <c r="AE2853" s="304"/>
    </row>
    <row r="2854" spans="2:31" ht="12">
      <c r="B2854" s="55"/>
      <c r="AB2854" s="304"/>
      <c r="AC2854" s="304"/>
      <c r="AD2854" s="304"/>
      <c r="AE2854" s="304"/>
    </row>
    <row r="2855" spans="2:31" ht="12">
      <c r="B2855" s="55"/>
      <c r="AB2855" s="304"/>
      <c r="AC2855" s="304"/>
      <c r="AD2855" s="304"/>
      <c r="AE2855" s="304"/>
    </row>
    <row r="2856" spans="2:31" ht="12">
      <c r="B2856" s="55"/>
      <c r="AB2856" s="304"/>
      <c r="AC2856" s="304"/>
      <c r="AD2856" s="304"/>
      <c r="AE2856" s="304"/>
    </row>
    <row r="2857" spans="2:31" ht="12">
      <c r="B2857" s="55"/>
      <c r="AB2857" s="304"/>
      <c r="AC2857" s="304"/>
      <c r="AD2857" s="304"/>
      <c r="AE2857" s="304"/>
    </row>
    <row r="2858" spans="2:31" ht="12">
      <c r="B2858" s="55"/>
      <c r="AB2858" s="304"/>
      <c r="AC2858" s="304"/>
      <c r="AD2858" s="304"/>
      <c r="AE2858" s="304"/>
    </row>
    <row r="2859" spans="2:31" ht="12">
      <c r="B2859" s="55"/>
      <c r="AB2859" s="304"/>
      <c r="AC2859" s="304"/>
      <c r="AD2859" s="304"/>
      <c r="AE2859" s="304"/>
    </row>
    <row r="2860" spans="2:31" ht="12">
      <c r="B2860" s="55"/>
      <c r="AB2860" s="304"/>
      <c r="AC2860" s="304"/>
      <c r="AD2860" s="304"/>
      <c r="AE2860" s="304"/>
    </row>
    <row r="2861" spans="2:31" ht="12">
      <c r="B2861" s="55"/>
      <c r="AB2861" s="304"/>
      <c r="AC2861" s="304"/>
      <c r="AD2861" s="304"/>
      <c r="AE2861" s="304"/>
    </row>
    <row r="2862" spans="2:31" ht="12">
      <c r="B2862" s="55"/>
      <c r="AB2862" s="304"/>
      <c r="AC2862" s="304"/>
      <c r="AD2862" s="304"/>
      <c r="AE2862" s="304"/>
    </row>
    <row r="2863" spans="2:31" ht="12">
      <c r="B2863" s="55"/>
      <c r="AB2863" s="304"/>
      <c r="AC2863" s="304"/>
      <c r="AD2863" s="304"/>
      <c r="AE2863" s="304"/>
    </row>
    <row r="2864" spans="2:31" ht="12">
      <c r="B2864" s="55"/>
      <c r="AB2864" s="304"/>
      <c r="AC2864" s="304"/>
      <c r="AD2864" s="304"/>
      <c r="AE2864" s="304"/>
    </row>
    <row r="2865" spans="2:31" ht="12">
      <c r="B2865" s="55"/>
      <c r="AB2865" s="304"/>
      <c r="AC2865" s="304"/>
      <c r="AD2865" s="304"/>
      <c r="AE2865" s="304"/>
    </row>
    <row r="2866" spans="2:31" ht="12">
      <c r="B2866" s="55"/>
      <c r="AB2866" s="304"/>
      <c r="AC2866" s="304"/>
      <c r="AD2866" s="304"/>
      <c r="AE2866" s="304"/>
    </row>
    <row r="2867" spans="2:31" ht="12">
      <c r="B2867" s="55"/>
      <c r="AB2867" s="304"/>
      <c r="AC2867" s="304"/>
      <c r="AD2867" s="304"/>
      <c r="AE2867" s="304"/>
    </row>
    <row r="2868" spans="2:31" ht="12">
      <c r="B2868" s="55"/>
      <c r="AB2868" s="304"/>
      <c r="AC2868" s="304"/>
      <c r="AD2868" s="304"/>
      <c r="AE2868" s="304"/>
    </row>
    <row r="2869" spans="2:31" ht="12">
      <c r="B2869" s="55"/>
      <c r="AB2869" s="304"/>
      <c r="AC2869" s="304"/>
      <c r="AD2869" s="304"/>
      <c r="AE2869" s="304"/>
    </row>
    <row r="2870" spans="2:31" ht="12">
      <c r="B2870" s="55"/>
      <c r="AB2870" s="304"/>
      <c r="AC2870" s="304"/>
      <c r="AD2870" s="304"/>
      <c r="AE2870" s="304"/>
    </row>
    <row r="2871" spans="2:31" ht="12">
      <c r="B2871" s="55"/>
      <c r="AB2871" s="304"/>
      <c r="AC2871" s="304"/>
      <c r="AD2871" s="304"/>
      <c r="AE2871" s="304"/>
    </row>
    <row r="2872" spans="2:31" ht="12">
      <c r="B2872" s="55"/>
      <c r="AB2872" s="304"/>
      <c r="AC2872" s="304"/>
      <c r="AD2872" s="304"/>
      <c r="AE2872" s="304"/>
    </row>
    <row r="2873" spans="2:31" ht="12">
      <c r="B2873" s="55"/>
      <c r="AB2873" s="304"/>
      <c r="AC2873" s="304"/>
      <c r="AD2873" s="304"/>
      <c r="AE2873" s="304"/>
    </row>
    <row r="2874" spans="2:31" ht="12">
      <c r="B2874" s="55"/>
      <c r="AB2874" s="304"/>
      <c r="AC2874" s="304"/>
      <c r="AD2874" s="304"/>
      <c r="AE2874" s="304"/>
    </row>
    <row r="2875" spans="2:31" ht="12">
      <c r="B2875" s="55"/>
      <c r="AB2875" s="304"/>
      <c r="AC2875" s="304"/>
      <c r="AD2875" s="304"/>
      <c r="AE2875" s="304"/>
    </row>
    <row r="2876" spans="2:31" ht="12">
      <c r="B2876" s="55"/>
      <c r="AB2876" s="304"/>
      <c r="AC2876" s="304"/>
      <c r="AD2876" s="304"/>
      <c r="AE2876" s="304"/>
    </row>
    <row r="2877" spans="2:31" ht="12">
      <c r="B2877" s="55"/>
      <c r="AB2877" s="304"/>
      <c r="AC2877" s="304"/>
      <c r="AD2877" s="304"/>
      <c r="AE2877" s="304"/>
    </row>
    <row r="2878" spans="2:31" ht="12">
      <c r="B2878" s="55"/>
      <c r="AB2878" s="304"/>
      <c r="AC2878" s="304"/>
      <c r="AD2878" s="304"/>
      <c r="AE2878" s="304"/>
    </row>
    <row r="2879" spans="2:31" ht="12">
      <c r="B2879" s="55"/>
      <c r="AB2879" s="304"/>
      <c r="AC2879" s="304"/>
      <c r="AD2879" s="304"/>
      <c r="AE2879" s="304"/>
    </row>
    <row r="2880" spans="2:31" ht="12">
      <c r="B2880" s="55"/>
      <c r="AB2880" s="304"/>
      <c r="AC2880" s="304"/>
      <c r="AD2880" s="304"/>
      <c r="AE2880" s="304"/>
    </row>
    <row r="2881" spans="2:31" ht="12">
      <c r="B2881" s="55"/>
      <c r="AB2881" s="304"/>
      <c r="AC2881" s="304"/>
      <c r="AD2881" s="304"/>
      <c r="AE2881" s="304"/>
    </row>
    <row r="2882" spans="2:31" ht="12">
      <c r="B2882" s="55"/>
      <c r="AB2882" s="304"/>
      <c r="AC2882" s="304"/>
      <c r="AD2882" s="304"/>
      <c r="AE2882" s="304"/>
    </row>
    <row r="2883" spans="2:31" ht="12">
      <c r="B2883" s="55"/>
      <c r="AB2883" s="304"/>
      <c r="AC2883" s="304"/>
      <c r="AD2883" s="304"/>
      <c r="AE2883" s="304"/>
    </row>
    <row r="2884" spans="2:31" ht="12">
      <c r="B2884" s="55"/>
      <c r="AB2884" s="304"/>
      <c r="AC2884" s="304"/>
      <c r="AD2884" s="304"/>
      <c r="AE2884" s="304"/>
    </row>
    <row r="2885" spans="2:31" ht="12">
      <c r="B2885" s="55"/>
      <c r="AB2885" s="304"/>
      <c r="AC2885" s="304"/>
      <c r="AD2885" s="304"/>
      <c r="AE2885" s="304"/>
    </row>
    <row r="2886" spans="2:31" ht="12">
      <c r="B2886" s="55"/>
      <c r="AB2886" s="304"/>
      <c r="AC2886" s="304"/>
      <c r="AD2886" s="304"/>
      <c r="AE2886" s="304"/>
    </row>
    <row r="2887" spans="2:31" ht="12">
      <c r="B2887" s="55"/>
      <c r="AB2887" s="304"/>
      <c r="AC2887" s="304"/>
      <c r="AD2887" s="304"/>
      <c r="AE2887" s="304"/>
    </row>
    <row r="2888" spans="2:31" ht="12">
      <c r="B2888" s="55"/>
      <c r="AB2888" s="304"/>
      <c r="AC2888" s="304"/>
      <c r="AD2888" s="304"/>
      <c r="AE2888" s="304"/>
    </row>
    <row r="2889" spans="2:31" ht="12">
      <c r="B2889" s="55"/>
      <c r="AB2889" s="304"/>
      <c r="AC2889" s="304"/>
      <c r="AD2889" s="304"/>
      <c r="AE2889" s="304"/>
    </row>
    <row r="2890" spans="2:31" ht="12">
      <c r="B2890" s="55"/>
      <c r="AB2890" s="304"/>
      <c r="AC2890" s="304"/>
      <c r="AD2890" s="304"/>
      <c r="AE2890" s="304"/>
    </row>
    <row r="2891" spans="2:31" ht="12">
      <c r="B2891" s="55"/>
      <c r="AB2891" s="304"/>
      <c r="AC2891" s="304"/>
      <c r="AD2891" s="304"/>
      <c r="AE2891" s="304"/>
    </row>
    <row r="2892" spans="2:31" ht="12">
      <c r="B2892" s="55"/>
      <c r="AB2892" s="304"/>
      <c r="AC2892" s="304"/>
      <c r="AD2892" s="304"/>
      <c r="AE2892" s="304"/>
    </row>
    <row r="2893" spans="2:31" ht="12">
      <c r="B2893" s="55"/>
      <c r="AB2893" s="304"/>
      <c r="AC2893" s="304"/>
      <c r="AD2893" s="304"/>
      <c r="AE2893" s="304"/>
    </row>
    <row r="2894" spans="2:31" ht="12">
      <c r="B2894" s="55"/>
      <c r="AB2894" s="304"/>
      <c r="AC2894" s="304"/>
      <c r="AD2894" s="304"/>
      <c r="AE2894" s="304"/>
    </row>
    <row r="2895" spans="2:31" ht="12">
      <c r="B2895" s="55"/>
      <c r="AB2895" s="304"/>
      <c r="AC2895" s="304"/>
      <c r="AD2895" s="304"/>
      <c r="AE2895" s="304"/>
    </row>
    <row r="2896" spans="2:31" ht="12">
      <c r="B2896" s="55"/>
      <c r="AB2896" s="304"/>
      <c r="AC2896" s="304"/>
      <c r="AD2896" s="304"/>
      <c r="AE2896" s="304"/>
    </row>
    <row r="2897" spans="2:31" ht="12">
      <c r="B2897" s="55"/>
      <c r="AB2897" s="304"/>
      <c r="AC2897" s="304"/>
      <c r="AD2897" s="304"/>
      <c r="AE2897" s="304"/>
    </row>
    <row r="2898" spans="2:31" ht="12">
      <c r="B2898" s="55"/>
      <c r="AB2898" s="304"/>
      <c r="AC2898" s="304"/>
      <c r="AD2898" s="304"/>
      <c r="AE2898" s="304"/>
    </row>
    <row r="2899" spans="2:31" ht="12">
      <c r="B2899" s="55"/>
      <c r="AB2899" s="304"/>
      <c r="AC2899" s="304"/>
      <c r="AD2899" s="304"/>
      <c r="AE2899" s="304"/>
    </row>
    <row r="2900" spans="2:31" ht="12">
      <c r="B2900" s="55"/>
      <c r="AB2900" s="304"/>
      <c r="AC2900" s="304"/>
      <c r="AD2900" s="304"/>
      <c r="AE2900" s="304"/>
    </row>
    <row r="2901" spans="2:31" ht="12">
      <c r="B2901" s="55"/>
      <c r="AB2901" s="304"/>
      <c r="AC2901" s="304"/>
      <c r="AD2901" s="304"/>
      <c r="AE2901" s="304"/>
    </row>
    <row r="2902" spans="2:31" ht="12">
      <c r="B2902" s="55"/>
      <c r="AB2902" s="304"/>
      <c r="AC2902" s="304"/>
      <c r="AD2902" s="304"/>
      <c r="AE2902" s="304"/>
    </row>
    <row r="2903" spans="2:31" ht="12">
      <c r="B2903" s="55"/>
      <c r="AB2903" s="304"/>
      <c r="AC2903" s="304"/>
      <c r="AD2903" s="304"/>
      <c r="AE2903" s="304"/>
    </row>
    <row r="2904" spans="2:31" ht="12">
      <c r="B2904" s="55"/>
      <c r="AB2904" s="304"/>
      <c r="AC2904" s="304"/>
      <c r="AD2904" s="304"/>
      <c r="AE2904" s="304"/>
    </row>
    <row r="2905" spans="2:31" ht="12">
      <c r="B2905" s="55"/>
      <c r="AB2905" s="304"/>
      <c r="AC2905" s="304"/>
      <c r="AD2905" s="304"/>
      <c r="AE2905" s="304"/>
    </row>
    <row r="2906" spans="2:31" ht="12">
      <c r="B2906" s="55"/>
      <c r="AB2906" s="304"/>
      <c r="AC2906" s="304"/>
      <c r="AD2906" s="304"/>
      <c r="AE2906" s="304"/>
    </row>
    <row r="2907" spans="2:31" ht="12">
      <c r="B2907" s="55"/>
      <c r="AB2907" s="304"/>
      <c r="AC2907" s="304"/>
      <c r="AD2907" s="304"/>
      <c r="AE2907" s="304"/>
    </row>
    <row r="2908" spans="2:31" ht="12">
      <c r="B2908" s="55"/>
      <c r="AB2908" s="304"/>
      <c r="AC2908" s="304"/>
      <c r="AD2908" s="304"/>
      <c r="AE2908" s="304"/>
    </row>
    <row r="2909" spans="2:31" ht="12">
      <c r="B2909" s="55"/>
      <c r="AB2909" s="304"/>
      <c r="AC2909" s="304"/>
      <c r="AD2909" s="304"/>
      <c r="AE2909" s="304"/>
    </row>
    <row r="2910" spans="2:31" ht="12">
      <c r="B2910" s="55"/>
      <c r="AB2910" s="304"/>
      <c r="AC2910" s="304"/>
      <c r="AD2910" s="304"/>
      <c r="AE2910" s="304"/>
    </row>
    <row r="2911" spans="2:31" ht="12">
      <c r="B2911" s="55"/>
      <c r="AB2911" s="304"/>
      <c r="AC2911" s="304"/>
      <c r="AD2911" s="304"/>
      <c r="AE2911" s="304"/>
    </row>
    <row r="2912" spans="2:31" ht="12">
      <c r="B2912" s="55"/>
      <c r="AB2912" s="304"/>
      <c r="AC2912" s="304"/>
      <c r="AD2912" s="304"/>
      <c r="AE2912" s="304"/>
    </row>
    <row r="2913" spans="2:31" ht="12">
      <c r="B2913" s="55"/>
      <c r="AB2913" s="304"/>
      <c r="AC2913" s="304"/>
      <c r="AD2913" s="304"/>
      <c r="AE2913" s="304"/>
    </row>
    <row r="2914" spans="2:31" ht="12">
      <c r="B2914" s="55"/>
      <c r="AB2914" s="304"/>
      <c r="AC2914" s="304"/>
      <c r="AD2914" s="304"/>
      <c r="AE2914" s="304"/>
    </row>
    <row r="2915" spans="2:31" ht="12">
      <c r="B2915" s="55"/>
      <c r="AB2915" s="304"/>
      <c r="AC2915" s="304"/>
      <c r="AD2915" s="304"/>
      <c r="AE2915" s="304"/>
    </row>
    <row r="2916" spans="2:31" ht="12">
      <c r="B2916" s="55"/>
      <c r="AB2916" s="304"/>
      <c r="AC2916" s="304"/>
      <c r="AD2916" s="304"/>
      <c r="AE2916" s="304"/>
    </row>
    <row r="2917" spans="2:31" ht="12">
      <c r="B2917" s="55"/>
      <c r="AB2917" s="304"/>
      <c r="AC2917" s="304"/>
      <c r="AD2917" s="304"/>
      <c r="AE2917" s="304"/>
    </row>
    <row r="2918" spans="2:31" ht="12">
      <c r="B2918" s="55"/>
      <c r="AB2918" s="304"/>
      <c r="AC2918" s="304"/>
      <c r="AD2918" s="304"/>
      <c r="AE2918" s="304"/>
    </row>
    <row r="2919" spans="2:31" ht="12">
      <c r="B2919" s="55"/>
      <c r="AB2919" s="304"/>
      <c r="AC2919" s="304"/>
      <c r="AD2919" s="304"/>
      <c r="AE2919" s="304"/>
    </row>
    <row r="2920" spans="2:31" ht="12">
      <c r="B2920" s="55"/>
      <c r="AB2920" s="304"/>
      <c r="AC2920" s="304"/>
      <c r="AD2920" s="304"/>
      <c r="AE2920" s="304"/>
    </row>
    <row r="2921" spans="2:31" ht="12">
      <c r="B2921" s="55"/>
      <c r="AB2921" s="304"/>
      <c r="AC2921" s="304"/>
      <c r="AD2921" s="304"/>
      <c r="AE2921" s="304"/>
    </row>
    <row r="2922" spans="2:31" ht="12">
      <c r="B2922" s="55"/>
      <c r="AB2922" s="304"/>
      <c r="AC2922" s="304"/>
      <c r="AD2922" s="304"/>
      <c r="AE2922" s="304"/>
    </row>
    <row r="2923" spans="2:31" ht="12">
      <c r="B2923" s="55"/>
      <c r="AB2923" s="304"/>
      <c r="AC2923" s="304"/>
      <c r="AD2923" s="304"/>
      <c r="AE2923" s="304"/>
    </row>
    <row r="2924" spans="2:31" ht="12">
      <c r="B2924" s="55"/>
      <c r="AB2924" s="304"/>
      <c r="AC2924" s="304"/>
      <c r="AD2924" s="304"/>
      <c r="AE2924" s="304"/>
    </row>
    <row r="2925" spans="2:31" ht="12">
      <c r="B2925" s="55"/>
      <c r="AB2925" s="304"/>
      <c r="AC2925" s="304"/>
      <c r="AD2925" s="304"/>
      <c r="AE2925" s="304"/>
    </row>
    <row r="2926" spans="2:31" ht="12">
      <c r="B2926" s="55"/>
      <c r="AB2926" s="304"/>
      <c r="AC2926" s="304"/>
      <c r="AD2926" s="304"/>
      <c r="AE2926" s="304"/>
    </row>
    <row r="2927" spans="2:31" ht="12">
      <c r="B2927" s="55"/>
      <c r="AB2927" s="304"/>
      <c r="AC2927" s="304"/>
      <c r="AD2927" s="304"/>
      <c r="AE2927" s="304"/>
    </row>
    <row r="2928" spans="2:31" ht="12">
      <c r="B2928" s="55"/>
      <c r="AB2928" s="304"/>
      <c r="AC2928" s="304"/>
      <c r="AD2928" s="304"/>
      <c r="AE2928" s="304"/>
    </row>
    <row r="2929" spans="2:31" ht="12">
      <c r="B2929" s="55"/>
      <c r="AB2929" s="304"/>
      <c r="AC2929" s="304"/>
      <c r="AD2929" s="304"/>
      <c r="AE2929" s="304"/>
    </row>
    <row r="2930" spans="2:31" ht="12">
      <c r="B2930" s="55"/>
      <c r="AB2930" s="304"/>
      <c r="AC2930" s="304"/>
      <c r="AD2930" s="304"/>
      <c r="AE2930" s="304"/>
    </row>
    <row r="2931" spans="2:31" ht="12">
      <c r="B2931" s="55"/>
      <c r="AB2931" s="304"/>
      <c r="AC2931" s="304"/>
      <c r="AD2931" s="304"/>
      <c r="AE2931" s="304"/>
    </row>
    <row r="2932" spans="2:31" ht="12">
      <c r="B2932" s="55"/>
      <c r="AB2932" s="304"/>
      <c r="AC2932" s="304"/>
      <c r="AD2932" s="304"/>
      <c r="AE2932" s="304"/>
    </row>
    <row r="2933" spans="2:31" ht="12">
      <c r="B2933" s="55"/>
      <c r="AB2933" s="304"/>
      <c r="AC2933" s="304"/>
      <c r="AD2933" s="304"/>
      <c r="AE2933" s="304"/>
    </row>
    <row r="2934" spans="2:31" ht="12">
      <c r="B2934" s="55"/>
      <c r="AB2934" s="304"/>
      <c r="AC2934" s="304"/>
      <c r="AD2934" s="304"/>
      <c r="AE2934" s="304"/>
    </row>
    <row r="2935" spans="2:31" ht="12">
      <c r="B2935" s="55"/>
      <c r="AB2935" s="304"/>
      <c r="AC2935" s="304"/>
      <c r="AD2935" s="304"/>
      <c r="AE2935" s="304"/>
    </row>
    <row r="2936" spans="2:31" ht="12">
      <c r="B2936" s="55"/>
      <c r="AB2936" s="304"/>
      <c r="AC2936" s="304"/>
      <c r="AD2936" s="304"/>
      <c r="AE2936" s="304"/>
    </row>
    <row r="2937" spans="2:31" ht="12">
      <c r="B2937" s="55"/>
      <c r="AB2937" s="304"/>
      <c r="AC2937" s="304"/>
      <c r="AD2937" s="304"/>
      <c r="AE2937" s="304"/>
    </row>
    <row r="2938" spans="2:31" ht="12">
      <c r="B2938" s="55"/>
      <c r="AB2938" s="304"/>
      <c r="AC2938" s="304"/>
      <c r="AD2938" s="304"/>
      <c r="AE2938" s="304"/>
    </row>
    <row r="2939" spans="2:31" ht="12">
      <c r="B2939" s="55"/>
      <c r="AB2939" s="304"/>
      <c r="AC2939" s="304"/>
      <c r="AD2939" s="304"/>
      <c r="AE2939" s="304"/>
    </row>
    <row r="2940" spans="2:31" ht="12">
      <c r="B2940" s="55"/>
      <c r="AB2940" s="304"/>
      <c r="AC2940" s="304"/>
      <c r="AD2940" s="304"/>
      <c r="AE2940" s="304"/>
    </row>
    <row r="2941" spans="2:31" ht="12">
      <c r="B2941" s="55"/>
      <c r="AB2941" s="304"/>
      <c r="AC2941" s="304"/>
      <c r="AD2941" s="304"/>
      <c r="AE2941" s="304"/>
    </row>
    <row r="2942" spans="2:31" ht="12">
      <c r="B2942" s="55"/>
      <c r="AB2942" s="304"/>
      <c r="AC2942" s="304"/>
      <c r="AD2942" s="304"/>
      <c r="AE2942" s="304"/>
    </row>
    <row r="2943" spans="2:31" ht="12">
      <c r="B2943" s="55"/>
      <c r="AB2943" s="304"/>
      <c r="AC2943" s="304"/>
      <c r="AD2943" s="304"/>
      <c r="AE2943" s="304"/>
    </row>
    <row r="2944" spans="2:31" ht="12">
      <c r="B2944" s="55"/>
      <c r="AB2944" s="304"/>
      <c r="AC2944" s="304"/>
      <c r="AD2944" s="304"/>
      <c r="AE2944" s="304"/>
    </row>
    <row r="2945" spans="2:31" ht="12">
      <c r="B2945" s="55"/>
      <c r="AB2945" s="304"/>
      <c r="AC2945" s="304"/>
      <c r="AD2945" s="304"/>
      <c r="AE2945" s="304"/>
    </row>
    <row r="2946" spans="2:31" ht="12">
      <c r="B2946" s="55"/>
      <c r="AB2946" s="304"/>
      <c r="AC2946" s="304"/>
      <c r="AD2946" s="304"/>
      <c r="AE2946" s="304"/>
    </row>
    <row r="2947" spans="2:31" ht="12">
      <c r="B2947" s="55"/>
      <c r="AB2947" s="304"/>
      <c r="AC2947" s="304"/>
      <c r="AD2947" s="304"/>
      <c r="AE2947" s="304"/>
    </row>
    <row r="2948" spans="2:31" ht="12">
      <c r="B2948" s="55"/>
      <c r="AB2948" s="304"/>
      <c r="AC2948" s="304"/>
      <c r="AD2948" s="304"/>
      <c r="AE2948" s="304"/>
    </row>
    <row r="2949" spans="2:31" ht="12">
      <c r="B2949" s="55"/>
      <c r="AB2949" s="304"/>
      <c r="AC2949" s="304"/>
      <c r="AD2949" s="304"/>
      <c r="AE2949" s="304"/>
    </row>
    <row r="2950" spans="2:31" ht="12">
      <c r="B2950" s="55"/>
      <c r="AB2950" s="304"/>
      <c r="AC2950" s="304"/>
      <c r="AD2950" s="304"/>
      <c r="AE2950" s="304"/>
    </row>
    <row r="2951" spans="2:31" ht="12">
      <c r="B2951" s="55"/>
      <c r="AB2951" s="304"/>
      <c r="AC2951" s="304"/>
      <c r="AD2951" s="304"/>
      <c r="AE2951" s="304"/>
    </row>
    <row r="2952" spans="2:31" ht="12">
      <c r="B2952" s="55"/>
      <c r="AB2952" s="304"/>
      <c r="AC2952" s="304"/>
      <c r="AD2952" s="304"/>
      <c r="AE2952" s="304"/>
    </row>
    <row r="2953" spans="2:31" ht="12">
      <c r="B2953" s="55"/>
      <c r="AB2953" s="304"/>
      <c r="AC2953" s="304"/>
      <c r="AD2953" s="304"/>
      <c r="AE2953" s="304"/>
    </row>
    <row r="2954" spans="2:31" ht="12">
      <c r="B2954" s="55"/>
      <c r="AB2954" s="304"/>
      <c r="AC2954" s="304"/>
      <c r="AD2954" s="304"/>
      <c r="AE2954" s="304"/>
    </row>
    <row r="2955" spans="2:31" ht="12">
      <c r="B2955" s="55"/>
      <c r="AB2955" s="304"/>
      <c r="AC2955" s="304"/>
      <c r="AD2955" s="304"/>
      <c r="AE2955" s="304"/>
    </row>
    <row r="2956" spans="2:31" ht="12">
      <c r="B2956" s="55"/>
      <c r="AB2956" s="304"/>
      <c r="AC2956" s="304"/>
      <c r="AD2956" s="304"/>
      <c r="AE2956" s="304"/>
    </row>
    <row r="2957" spans="2:31" ht="12">
      <c r="B2957" s="55"/>
      <c r="AB2957" s="304"/>
      <c r="AC2957" s="304"/>
      <c r="AD2957" s="304"/>
      <c r="AE2957" s="304"/>
    </row>
    <row r="2958" spans="2:31" ht="12">
      <c r="B2958" s="55"/>
      <c r="AB2958" s="304"/>
      <c r="AC2958" s="304"/>
      <c r="AD2958" s="304"/>
      <c r="AE2958" s="304"/>
    </row>
    <row r="2959" spans="2:31" ht="12">
      <c r="B2959" s="55"/>
      <c r="AB2959" s="304"/>
      <c r="AC2959" s="304"/>
      <c r="AD2959" s="304"/>
      <c r="AE2959" s="304"/>
    </row>
    <row r="2960" spans="2:31" ht="12">
      <c r="B2960" s="55"/>
      <c r="AB2960" s="304"/>
      <c r="AC2960" s="304"/>
      <c r="AD2960" s="304"/>
      <c r="AE2960" s="304"/>
    </row>
    <row r="2961" spans="2:31" ht="12">
      <c r="B2961" s="55"/>
      <c r="AB2961" s="304"/>
      <c r="AC2961" s="304"/>
      <c r="AD2961" s="304"/>
      <c r="AE2961" s="304"/>
    </row>
    <row r="2962" spans="2:31" ht="12">
      <c r="B2962" s="55"/>
      <c r="AB2962" s="304"/>
      <c r="AC2962" s="304"/>
      <c r="AD2962" s="304"/>
      <c r="AE2962" s="304"/>
    </row>
    <row r="2963" spans="2:31" ht="12">
      <c r="B2963" s="55"/>
      <c r="AB2963" s="304"/>
      <c r="AC2963" s="304"/>
      <c r="AD2963" s="304"/>
      <c r="AE2963" s="304"/>
    </row>
    <row r="2964" spans="2:31" ht="12">
      <c r="B2964" s="55"/>
      <c r="AB2964" s="304"/>
      <c r="AC2964" s="304"/>
      <c r="AD2964" s="304"/>
      <c r="AE2964" s="304"/>
    </row>
    <row r="2965" spans="2:31" ht="12">
      <c r="B2965" s="55"/>
      <c r="AB2965" s="304"/>
      <c r="AC2965" s="304"/>
      <c r="AD2965" s="304"/>
      <c r="AE2965" s="304"/>
    </row>
    <row r="2966" spans="2:31" ht="12">
      <c r="B2966" s="55"/>
      <c r="AB2966" s="304"/>
      <c r="AC2966" s="304"/>
      <c r="AD2966" s="304"/>
      <c r="AE2966" s="304"/>
    </row>
    <row r="2967" spans="2:31" ht="12">
      <c r="B2967" s="55"/>
      <c r="AB2967" s="304"/>
      <c r="AC2967" s="304"/>
      <c r="AD2967" s="304"/>
      <c r="AE2967" s="304"/>
    </row>
    <row r="2968" spans="2:31" ht="12">
      <c r="B2968" s="55"/>
      <c r="AB2968" s="304"/>
      <c r="AC2968" s="304"/>
      <c r="AD2968" s="304"/>
      <c r="AE2968" s="304"/>
    </row>
    <row r="2969" spans="2:31" ht="12">
      <c r="B2969" s="55"/>
      <c r="AB2969" s="304"/>
      <c r="AC2969" s="304"/>
      <c r="AD2969" s="304"/>
      <c r="AE2969" s="304"/>
    </row>
    <row r="2970" spans="2:31" ht="12">
      <c r="B2970" s="55"/>
      <c r="AB2970" s="304"/>
      <c r="AC2970" s="304"/>
      <c r="AD2970" s="304"/>
      <c r="AE2970" s="304"/>
    </row>
    <row r="2971" spans="2:31" ht="12">
      <c r="B2971" s="55"/>
      <c r="AB2971" s="304"/>
      <c r="AC2971" s="304"/>
      <c r="AD2971" s="304"/>
      <c r="AE2971" s="304"/>
    </row>
    <row r="2972" spans="2:31" ht="12">
      <c r="B2972" s="55"/>
      <c r="AB2972" s="304"/>
      <c r="AC2972" s="304"/>
      <c r="AD2972" s="304"/>
      <c r="AE2972" s="304"/>
    </row>
    <row r="2973" spans="2:31" ht="12">
      <c r="B2973" s="55"/>
      <c r="AB2973" s="304"/>
      <c r="AC2973" s="304"/>
      <c r="AD2973" s="304"/>
      <c r="AE2973" s="304"/>
    </row>
    <row r="2974" spans="2:31" ht="12">
      <c r="B2974" s="55"/>
      <c r="AB2974" s="304"/>
      <c r="AC2974" s="304"/>
      <c r="AD2974" s="304"/>
      <c r="AE2974" s="304"/>
    </row>
    <row r="2975" spans="2:31" ht="12">
      <c r="B2975" s="55"/>
      <c r="AB2975" s="304"/>
      <c r="AC2975" s="304"/>
      <c r="AD2975" s="304"/>
      <c r="AE2975" s="304"/>
    </row>
    <row r="2976" spans="2:31" ht="12">
      <c r="B2976" s="55"/>
      <c r="AB2976" s="304"/>
      <c r="AC2976" s="304"/>
      <c r="AD2976" s="304"/>
      <c r="AE2976" s="304"/>
    </row>
    <row r="2977" spans="2:31" ht="12">
      <c r="B2977" s="55"/>
      <c r="AB2977" s="304"/>
      <c r="AC2977" s="304"/>
      <c r="AD2977" s="304"/>
      <c r="AE2977" s="304"/>
    </row>
    <row r="2978" spans="2:31" ht="12">
      <c r="B2978" s="55"/>
      <c r="AB2978" s="304"/>
      <c r="AC2978" s="304"/>
      <c r="AD2978" s="304"/>
      <c r="AE2978" s="304"/>
    </row>
    <row r="2979" spans="2:31" ht="12">
      <c r="B2979" s="55"/>
      <c r="AB2979" s="304"/>
      <c r="AC2979" s="304"/>
      <c r="AD2979" s="304"/>
      <c r="AE2979" s="304"/>
    </row>
    <row r="2980" spans="2:31" ht="12">
      <c r="B2980" s="55"/>
      <c r="AB2980" s="304"/>
      <c r="AC2980" s="304"/>
      <c r="AD2980" s="304"/>
      <c r="AE2980" s="304"/>
    </row>
    <row r="2981" spans="2:31" ht="12">
      <c r="B2981" s="55"/>
      <c r="AB2981" s="304"/>
      <c r="AC2981" s="304"/>
      <c r="AD2981" s="304"/>
      <c r="AE2981" s="304"/>
    </row>
    <row r="2982" spans="2:31" ht="12">
      <c r="B2982" s="55"/>
      <c r="AB2982" s="304"/>
      <c r="AC2982" s="304"/>
      <c r="AD2982" s="304"/>
      <c r="AE2982" s="304"/>
    </row>
    <row r="2983" spans="2:31" ht="12">
      <c r="B2983" s="55"/>
      <c r="AB2983" s="304"/>
      <c r="AC2983" s="304"/>
      <c r="AD2983" s="304"/>
      <c r="AE2983" s="304"/>
    </row>
    <row r="2984" spans="2:31" ht="12">
      <c r="B2984" s="55"/>
      <c r="AB2984" s="304"/>
      <c r="AC2984" s="304"/>
      <c r="AD2984" s="304"/>
      <c r="AE2984" s="304"/>
    </row>
    <row r="2985" spans="2:31" ht="12">
      <c r="B2985" s="55"/>
      <c r="AB2985" s="304"/>
      <c r="AC2985" s="304"/>
      <c r="AD2985" s="304"/>
      <c r="AE2985" s="304"/>
    </row>
    <row r="2986" spans="2:31" ht="12">
      <c r="B2986" s="55"/>
      <c r="AB2986" s="304"/>
      <c r="AC2986" s="304"/>
      <c r="AD2986" s="304"/>
      <c r="AE2986" s="304"/>
    </row>
    <row r="2987" spans="2:31" ht="12">
      <c r="B2987" s="55"/>
      <c r="AB2987" s="304"/>
      <c r="AC2987" s="304"/>
      <c r="AD2987" s="304"/>
      <c r="AE2987" s="304"/>
    </row>
    <row r="2988" spans="2:31" ht="12">
      <c r="B2988" s="55"/>
      <c r="AB2988" s="304"/>
      <c r="AC2988" s="304"/>
      <c r="AD2988" s="304"/>
      <c r="AE2988" s="304"/>
    </row>
    <row r="2989" spans="2:31" ht="12">
      <c r="B2989" s="55"/>
      <c r="AB2989" s="304"/>
      <c r="AC2989" s="304"/>
      <c r="AD2989" s="304"/>
      <c r="AE2989" s="304"/>
    </row>
    <row r="2990" spans="2:31" ht="12">
      <c r="B2990" s="55"/>
      <c r="AB2990" s="304"/>
      <c r="AC2990" s="304"/>
      <c r="AD2990" s="304"/>
      <c r="AE2990" s="304"/>
    </row>
    <row r="2991" spans="2:31" ht="12">
      <c r="B2991" s="55"/>
      <c r="AB2991" s="304"/>
      <c r="AC2991" s="304"/>
      <c r="AD2991" s="304"/>
      <c r="AE2991" s="304"/>
    </row>
    <row r="2992" spans="2:31" ht="12">
      <c r="B2992" s="55"/>
      <c r="AB2992" s="304"/>
      <c r="AC2992" s="304"/>
      <c r="AD2992" s="304"/>
      <c r="AE2992" s="304"/>
    </row>
    <row r="2993" spans="2:31" ht="12">
      <c r="B2993" s="55"/>
      <c r="AB2993" s="304"/>
      <c r="AC2993" s="304"/>
      <c r="AD2993" s="304"/>
      <c r="AE2993" s="304"/>
    </row>
    <row r="2994" spans="2:31" ht="12">
      <c r="B2994" s="55"/>
      <c r="AB2994" s="304"/>
      <c r="AC2994" s="304"/>
      <c r="AD2994" s="304"/>
      <c r="AE2994" s="304"/>
    </row>
    <row r="2995" spans="2:31" ht="12">
      <c r="B2995" s="55"/>
      <c r="AB2995" s="304"/>
      <c r="AC2995" s="304"/>
      <c r="AD2995" s="304"/>
      <c r="AE2995" s="304"/>
    </row>
    <row r="2996" spans="2:31" ht="12">
      <c r="B2996" s="55"/>
      <c r="AB2996" s="304"/>
      <c r="AC2996" s="304"/>
      <c r="AD2996" s="304"/>
      <c r="AE2996" s="304"/>
    </row>
    <row r="2997" spans="2:31" ht="12">
      <c r="B2997" s="55"/>
      <c r="AB2997" s="304"/>
      <c r="AC2997" s="304"/>
      <c r="AD2997" s="304"/>
      <c r="AE2997" s="304"/>
    </row>
    <row r="2998" spans="2:31" ht="12">
      <c r="B2998" s="55"/>
      <c r="AB2998" s="304"/>
      <c r="AC2998" s="304"/>
      <c r="AD2998" s="304"/>
      <c r="AE2998" s="304"/>
    </row>
    <row r="2999" spans="2:31" ht="12">
      <c r="B2999" s="55"/>
      <c r="AB2999" s="304"/>
      <c r="AC2999" s="304"/>
      <c r="AD2999" s="304"/>
      <c r="AE2999" s="304"/>
    </row>
    <row r="3000" spans="2:31" ht="12">
      <c r="B3000" s="55"/>
      <c r="AB3000" s="304"/>
      <c r="AC3000" s="304"/>
      <c r="AD3000" s="304"/>
      <c r="AE3000" s="304"/>
    </row>
    <row r="3001" spans="2:31" ht="12">
      <c r="B3001" s="55"/>
      <c r="AB3001" s="304"/>
      <c r="AC3001" s="304"/>
      <c r="AD3001" s="304"/>
      <c r="AE3001" s="304"/>
    </row>
    <row r="3002" spans="2:31" ht="12">
      <c r="B3002" s="55"/>
      <c r="AB3002" s="304"/>
      <c r="AC3002" s="304"/>
      <c r="AD3002" s="304"/>
      <c r="AE3002" s="304"/>
    </row>
    <row r="3003" spans="28:31" ht="12">
      <c r="AB3003" s="304"/>
      <c r="AC3003" s="304"/>
      <c r="AD3003" s="304"/>
      <c r="AE3003" s="304"/>
    </row>
    <row r="3004" spans="28:31" ht="12">
      <c r="AB3004" s="304"/>
      <c r="AC3004" s="304"/>
      <c r="AD3004" s="304"/>
      <c r="AE3004" s="304"/>
    </row>
    <row r="3005" spans="28:31" ht="12">
      <c r="AB3005" s="304"/>
      <c r="AC3005" s="304"/>
      <c r="AD3005" s="304"/>
      <c r="AE3005" s="304"/>
    </row>
    <row r="3006" spans="28:31" ht="12">
      <c r="AB3006" s="304"/>
      <c r="AC3006" s="304"/>
      <c r="AD3006" s="304"/>
      <c r="AE3006" s="304"/>
    </row>
    <row r="3007" spans="28:31" ht="12">
      <c r="AB3007" s="304"/>
      <c r="AC3007" s="304"/>
      <c r="AD3007" s="304"/>
      <c r="AE3007" s="304"/>
    </row>
    <row r="3008" spans="28:31" ht="12">
      <c r="AB3008" s="304"/>
      <c r="AC3008" s="304"/>
      <c r="AD3008" s="304"/>
      <c r="AE3008" s="304"/>
    </row>
    <row r="3009" spans="28:31" ht="12">
      <c r="AB3009" s="304"/>
      <c r="AC3009" s="304"/>
      <c r="AD3009" s="304"/>
      <c r="AE3009" s="304"/>
    </row>
    <row r="3010" spans="28:31" ht="12">
      <c r="AB3010" s="304"/>
      <c r="AC3010" s="304"/>
      <c r="AD3010" s="304"/>
      <c r="AE3010" s="304"/>
    </row>
    <row r="3011" spans="28:31" ht="12">
      <c r="AB3011" s="304"/>
      <c r="AC3011" s="304"/>
      <c r="AD3011" s="304"/>
      <c r="AE3011" s="304"/>
    </row>
    <row r="3012" spans="28:31" ht="12">
      <c r="AB3012" s="304"/>
      <c r="AC3012" s="304"/>
      <c r="AD3012" s="304"/>
      <c r="AE3012" s="304"/>
    </row>
    <row r="3013" spans="28:31" ht="12">
      <c r="AB3013" s="304"/>
      <c r="AC3013" s="304"/>
      <c r="AD3013" s="304"/>
      <c r="AE3013" s="304"/>
    </row>
    <row r="3014" spans="28:31" ht="12">
      <c r="AB3014" s="304"/>
      <c r="AC3014" s="304"/>
      <c r="AD3014" s="304"/>
      <c r="AE3014" s="304"/>
    </row>
    <row r="3015" spans="28:31" ht="12">
      <c r="AB3015" s="304"/>
      <c r="AC3015" s="304"/>
      <c r="AD3015" s="304"/>
      <c r="AE3015" s="304"/>
    </row>
    <row r="3016" spans="28:31" ht="12">
      <c r="AB3016" s="304"/>
      <c r="AC3016" s="304"/>
      <c r="AD3016" s="304"/>
      <c r="AE3016" s="304"/>
    </row>
    <row r="3017" spans="28:31" ht="12">
      <c r="AB3017" s="304"/>
      <c r="AC3017" s="304"/>
      <c r="AD3017" s="304"/>
      <c r="AE3017" s="304"/>
    </row>
    <row r="3018" spans="28:31" ht="12">
      <c r="AB3018" s="304"/>
      <c r="AC3018" s="304"/>
      <c r="AD3018" s="304"/>
      <c r="AE3018" s="304"/>
    </row>
    <row r="3019" spans="28:31" ht="12">
      <c r="AB3019" s="304"/>
      <c r="AC3019" s="304"/>
      <c r="AD3019" s="304"/>
      <c r="AE3019" s="304"/>
    </row>
    <row r="3020" spans="28:31" ht="12">
      <c r="AB3020" s="304"/>
      <c r="AC3020" s="304"/>
      <c r="AD3020" s="304"/>
      <c r="AE3020" s="304"/>
    </row>
    <row r="3021" spans="28:31" ht="12">
      <c r="AB3021" s="304"/>
      <c r="AC3021" s="304"/>
      <c r="AD3021" s="304"/>
      <c r="AE3021" s="304"/>
    </row>
    <row r="3022" spans="28:31" ht="12">
      <c r="AB3022" s="304"/>
      <c r="AC3022" s="304"/>
      <c r="AD3022" s="304"/>
      <c r="AE3022" s="304"/>
    </row>
    <row r="3023" spans="28:31" ht="12">
      <c r="AB3023" s="304"/>
      <c r="AC3023" s="304"/>
      <c r="AD3023" s="304"/>
      <c r="AE3023" s="304"/>
    </row>
    <row r="3024" spans="28:31" ht="12">
      <c r="AB3024" s="304"/>
      <c r="AC3024" s="304"/>
      <c r="AD3024" s="304"/>
      <c r="AE3024" s="304"/>
    </row>
    <row r="3025" spans="28:31" ht="12">
      <c r="AB3025" s="304"/>
      <c r="AC3025" s="304"/>
      <c r="AD3025" s="304"/>
      <c r="AE3025" s="304"/>
    </row>
    <row r="3026" spans="28:31" ht="12">
      <c r="AB3026" s="304"/>
      <c r="AC3026" s="304"/>
      <c r="AD3026" s="304"/>
      <c r="AE3026" s="304"/>
    </row>
    <row r="3027" spans="28:31" ht="12">
      <c r="AB3027" s="304"/>
      <c r="AC3027" s="304"/>
      <c r="AD3027" s="304"/>
      <c r="AE3027" s="304"/>
    </row>
    <row r="3028" spans="28:31" ht="12">
      <c r="AB3028" s="304"/>
      <c r="AC3028" s="304"/>
      <c r="AD3028" s="304"/>
      <c r="AE3028" s="304"/>
    </row>
    <row r="3029" spans="28:31" ht="12">
      <c r="AB3029" s="304"/>
      <c r="AC3029" s="304"/>
      <c r="AD3029" s="304"/>
      <c r="AE3029" s="304"/>
    </row>
    <row r="3030" spans="28:31" ht="12">
      <c r="AB3030" s="304"/>
      <c r="AC3030" s="304"/>
      <c r="AD3030" s="304"/>
      <c r="AE3030" s="304"/>
    </row>
    <row r="3031" spans="28:31" ht="12">
      <c r="AB3031" s="304"/>
      <c r="AC3031" s="304"/>
      <c r="AD3031" s="304"/>
      <c r="AE3031" s="304"/>
    </row>
    <row r="3032" spans="28:31" ht="12">
      <c r="AB3032" s="304"/>
      <c r="AC3032" s="304"/>
      <c r="AD3032" s="304"/>
      <c r="AE3032" s="304"/>
    </row>
    <row r="3033" spans="28:31" ht="12">
      <c r="AB3033" s="304"/>
      <c r="AC3033" s="304"/>
      <c r="AD3033" s="304"/>
      <c r="AE3033" s="304"/>
    </row>
    <row r="3034" spans="28:31" ht="12">
      <c r="AB3034" s="304"/>
      <c r="AC3034" s="304"/>
      <c r="AD3034" s="304"/>
      <c r="AE3034" s="304"/>
    </row>
    <row r="3035" spans="28:31" ht="12">
      <c r="AB3035" s="304"/>
      <c r="AC3035" s="304"/>
      <c r="AD3035" s="304"/>
      <c r="AE3035" s="304"/>
    </row>
    <row r="3036" spans="28:31" ht="12">
      <c r="AB3036" s="304"/>
      <c r="AC3036" s="304"/>
      <c r="AD3036" s="304"/>
      <c r="AE3036" s="304"/>
    </row>
    <row r="3037" spans="28:31" ht="12">
      <c r="AB3037" s="304"/>
      <c r="AC3037" s="304"/>
      <c r="AD3037" s="304"/>
      <c r="AE3037" s="304"/>
    </row>
    <row r="3038" spans="28:31" ht="12">
      <c r="AB3038" s="304"/>
      <c r="AC3038" s="304"/>
      <c r="AD3038" s="304"/>
      <c r="AE3038" s="304"/>
    </row>
    <row r="3039" spans="28:31" ht="12">
      <c r="AB3039" s="304"/>
      <c r="AC3039" s="304"/>
      <c r="AD3039" s="304"/>
      <c r="AE3039" s="304"/>
    </row>
    <row r="3040" spans="28:31" ht="12">
      <c r="AB3040" s="304"/>
      <c r="AC3040" s="304"/>
      <c r="AD3040" s="304"/>
      <c r="AE3040" s="304"/>
    </row>
    <row r="3041" spans="28:31" ht="12">
      <c r="AB3041" s="304"/>
      <c r="AC3041" s="304"/>
      <c r="AD3041" s="304"/>
      <c r="AE3041" s="304"/>
    </row>
    <row r="3042" spans="28:31" ht="12">
      <c r="AB3042" s="304"/>
      <c r="AC3042" s="304"/>
      <c r="AD3042" s="304"/>
      <c r="AE3042" s="304"/>
    </row>
    <row r="3043" spans="28:31" ht="12">
      <c r="AB3043" s="304"/>
      <c r="AC3043" s="304"/>
      <c r="AD3043" s="304"/>
      <c r="AE3043" s="304"/>
    </row>
    <row r="3044" spans="28:31" ht="12">
      <c r="AB3044" s="304"/>
      <c r="AC3044" s="304"/>
      <c r="AD3044" s="304"/>
      <c r="AE3044" s="304"/>
    </row>
    <row r="3045" spans="28:31" ht="12">
      <c r="AB3045" s="304"/>
      <c r="AC3045" s="304"/>
      <c r="AD3045" s="304"/>
      <c r="AE3045" s="304"/>
    </row>
    <row r="3046" spans="28:31" ht="12">
      <c r="AB3046" s="304"/>
      <c r="AC3046" s="304"/>
      <c r="AD3046" s="304"/>
      <c r="AE3046" s="304"/>
    </row>
    <row r="3047" spans="28:31" ht="12">
      <c r="AB3047" s="304"/>
      <c r="AC3047" s="304"/>
      <c r="AD3047" s="304"/>
      <c r="AE3047" s="304"/>
    </row>
    <row r="3048" spans="28:31" ht="12">
      <c r="AB3048" s="304"/>
      <c r="AC3048" s="304"/>
      <c r="AD3048" s="304"/>
      <c r="AE3048" s="304"/>
    </row>
    <row r="3049" spans="28:31" ht="12">
      <c r="AB3049" s="304"/>
      <c r="AC3049" s="304"/>
      <c r="AD3049" s="304"/>
      <c r="AE3049" s="304"/>
    </row>
    <row r="3050" spans="28:31" ht="12">
      <c r="AB3050" s="304"/>
      <c r="AC3050" s="304"/>
      <c r="AD3050" s="304"/>
      <c r="AE3050" s="304"/>
    </row>
    <row r="3051" spans="28:31" ht="12">
      <c r="AB3051" s="304"/>
      <c r="AC3051" s="304"/>
      <c r="AD3051" s="304"/>
      <c r="AE3051" s="304"/>
    </row>
    <row r="3052" spans="28:31" ht="12">
      <c r="AB3052" s="304"/>
      <c r="AC3052" s="304"/>
      <c r="AD3052" s="304"/>
      <c r="AE3052" s="304"/>
    </row>
    <row r="3053" spans="28:31" ht="12">
      <c r="AB3053" s="304"/>
      <c r="AC3053" s="304"/>
      <c r="AD3053" s="304"/>
      <c r="AE3053" s="304"/>
    </row>
    <row r="3054" spans="28:31" ht="12">
      <c r="AB3054" s="304"/>
      <c r="AC3054" s="304"/>
      <c r="AD3054" s="304"/>
      <c r="AE3054" s="304"/>
    </row>
    <row r="3055" spans="28:31" ht="12">
      <c r="AB3055" s="304"/>
      <c r="AC3055" s="304"/>
      <c r="AD3055" s="304"/>
      <c r="AE3055" s="304"/>
    </row>
    <row r="3056" spans="28:31" ht="12">
      <c r="AB3056" s="304"/>
      <c r="AC3056" s="304"/>
      <c r="AD3056" s="304"/>
      <c r="AE3056" s="304"/>
    </row>
    <row r="3057" spans="28:31" ht="12">
      <c r="AB3057" s="304"/>
      <c r="AC3057" s="304"/>
      <c r="AD3057" s="304"/>
      <c r="AE3057" s="304"/>
    </row>
    <row r="3058" spans="28:31" ht="12">
      <c r="AB3058" s="304"/>
      <c r="AC3058" s="304"/>
      <c r="AD3058" s="304"/>
      <c r="AE3058" s="304"/>
    </row>
    <row r="3059" spans="28:31" ht="12">
      <c r="AB3059" s="304"/>
      <c r="AC3059" s="304"/>
      <c r="AD3059" s="304"/>
      <c r="AE3059" s="304"/>
    </row>
    <row r="3060" spans="28:31" ht="12">
      <c r="AB3060" s="304"/>
      <c r="AC3060" s="304"/>
      <c r="AD3060" s="304"/>
      <c r="AE3060" s="304"/>
    </row>
    <row r="3061" spans="28:31" ht="12">
      <c r="AB3061" s="304"/>
      <c r="AC3061" s="304"/>
      <c r="AD3061" s="304"/>
      <c r="AE3061" s="304"/>
    </row>
    <row r="3062" spans="28:31" ht="12">
      <c r="AB3062" s="304"/>
      <c r="AC3062" s="304"/>
      <c r="AD3062" s="304"/>
      <c r="AE3062" s="304"/>
    </row>
    <row r="3063" spans="28:31" ht="12">
      <c r="AB3063" s="304"/>
      <c r="AC3063" s="304"/>
      <c r="AD3063" s="304"/>
      <c r="AE3063" s="304"/>
    </row>
    <row r="3064" spans="28:31" ht="12">
      <c r="AB3064" s="304"/>
      <c r="AC3064" s="304"/>
      <c r="AD3064" s="304"/>
      <c r="AE3064" s="304"/>
    </row>
    <row r="3065" spans="28:31" ht="12">
      <c r="AB3065" s="304"/>
      <c r="AC3065" s="304"/>
      <c r="AD3065" s="304"/>
      <c r="AE3065" s="304"/>
    </row>
    <row r="3066" spans="28:31" ht="12">
      <c r="AB3066" s="304"/>
      <c r="AC3066" s="304"/>
      <c r="AD3066" s="304"/>
      <c r="AE3066" s="304"/>
    </row>
    <row r="3067" spans="28:31" ht="12">
      <c r="AB3067" s="304"/>
      <c r="AC3067" s="304"/>
      <c r="AD3067" s="304"/>
      <c r="AE3067" s="304"/>
    </row>
    <row r="3068" spans="28:31" ht="12">
      <c r="AB3068" s="304"/>
      <c r="AC3068" s="304"/>
      <c r="AD3068" s="304"/>
      <c r="AE3068" s="304"/>
    </row>
    <row r="3069" spans="28:31" ht="12">
      <c r="AB3069" s="304"/>
      <c r="AC3069" s="304"/>
      <c r="AD3069" s="304"/>
      <c r="AE3069" s="304"/>
    </row>
    <row r="3070" spans="28:31" ht="12">
      <c r="AB3070" s="304"/>
      <c r="AC3070" s="304"/>
      <c r="AD3070" s="304"/>
      <c r="AE3070" s="304"/>
    </row>
    <row r="3071" spans="28:31" ht="12">
      <c r="AB3071" s="304"/>
      <c r="AC3071" s="304"/>
      <c r="AD3071" s="304"/>
      <c r="AE3071" s="304"/>
    </row>
    <row r="3072" spans="28:31" ht="12">
      <c r="AB3072" s="304"/>
      <c r="AC3072" s="304"/>
      <c r="AD3072" s="304"/>
      <c r="AE3072" s="304"/>
    </row>
    <row r="3073" spans="28:31" ht="12">
      <c r="AB3073" s="304"/>
      <c r="AC3073" s="304"/>
      <c r="AD3073" s="304"/>
      <c r="AE3073" s="304"/>
    </row>
    <row r="3074" spans="28:31" ht="12">
      <c r="AB3074" s="304"/>
      <c r="AC3074" s="304"/>
      <c r="AD3074" s="304"/>
      <c r="AE3074" s="304"/>
    </row>
    <row r="3075" spans="28:31" ht="12">
      <c r="AB3075" s="304"/>
      <c r="AC3075" s="304"/>
      <c r="AD3075" s="304"/>
      <c r="AE3075" s="304"/>
    </row>
    <row r="3076" spans="28:31" ht="12">
      <c r="AB3076" s="304"/>
      <c r="AC3076" s="304"/>
      <c r="AD3076" s="304"/>
      <c r="AE3076" s="304"/>
    </row>
    <row r="3077" spans="28:31" ht="12">
      <c r="AB3077" s="304"/>
      <c r="AC3077" s="304"/>
      <c r="AD3077" s="304"/>
      <c r="AE3077" s="304"/>
    </row>
    <row r="3078" spans="28:31" ht="12">
      <c r="AB3078" s="304"/>
      <c r="AC3078" s="304"/>
      <c r="AD3078" s="304"/>
      <c r="AE3078" s="304"/>
    </row>
    <row r="3079" spans="28:31" ht="12">
      <c r="AB3079" s="304"/>
      <c r="AC3079" s="304"/>
      <c r="AD3079" s="304"/>
      <c r="AE3079" s="304"/>
    </row>
    <row r="3080" spans="28:31" ht="12">
      <c r="AB3080" s="304"/>
      <c r="AC3080" s="304"/>
      <c r="AD3080" s="304"/>
      <c r="AE3080" s="304"/>
    </row>
    <row r="3081" spans="28:31" ht="12">
      <c r="AB3081" s="304"/>
      <c r="AC3081" s="304"/>
      <c r="AD3081" s="304"/>
      <c r="AE3081" s="304"/>
    </row>
    <row r="3082" spans="28:31" ht="12">
      <c r="AB3082" s="304"/>
      <c r="AC3082" s="304"/>
      <c r="AD3082" s="304"/>
      <c r="AE3082" s="304"/>
    </row>
    <row r="3083" spans="28:31" ht="12">
      <c r="AB3083" s="304"/>
      <c r="AC3083" s="304"/>
      <c r="AD3083" s="304"/>
      <c r="AE3083" s="304"/>
    </row>
    <row r="3084" spans="28:31" ht="12">
      <c r="AB3084" s="304"/>
      <c r="AC3084" s="304"/>
      <c r="AD3084" s="304"/>
      <c r="AE3084" s="304"/>
    </row>
    <row r="3085" spans="28:31" ht="12">
      <c r="AB3085" s="304"/>
      <c r="AC3085" s="304"/>
      <c r="AD3085" s="304"/>
      <c r="AE3085" s="304"/>
    </row>
    <row r="3086" spans="28:31" ht="12">
      <c r="AB3086" s="304"/>
      <c r="AC3086" s="304"/>
      <c r="AD3086" s="304"/>
      <c r="AE3086" s="304"/>
    </row>
    <row r="3087" spans="28:31" ht="12">
      <c r="AB3087" s="304"/>
      <c r="AC3087" s="304"/>
      <c r="AD3087" s="304"/>
      <c r="AE3087" s="304"/>
    </row>
    <row r="3088" spans="28:31" ht="12">
      <c r="AB3088" s="304"/>
      <c r="AC3088" s="304"/>
      <c r="AD3088" s="304"/>
      <c r="AE3088" s="304"/>
    </row>
    <row r="3089" spans="28:31" ht="12">
      <c r="AB3089" s="304"/>
      <c r="AC3089" s="304"/>
      <c r="AD3089" s="304"/>
      <c r="AE3089" s="304"/>
    </row>
    <row r="3090" spans="28:31" ht="12">
      <c r="AB3090" s="304"/>
      <c r="AC3090" s="304"/>
      <c r="AD3090" s="304"/>
      <c r="AE3090" s="304"/>
    </row>
    <row r="3091" spans="28:31" ht="12">
      <c r="AB3091" s="304"/>
      <c r="AC3091" s="304"/>
      <c r="AD3091" s="304"/>
      <c r="AE3091" s="304"/>
    </row>
    <row r="3092" spans="28:31" ht="12">
      <c r="AB3092" s="304"/>
      <c r="AC3092" s="304"/>
      <c r="AD3092" s="304"/>
      <c r="AE3092" s="304"/>
    </row>
    <row r="3093" spans="28:31" ht="12">
      <c r="AB3093" s="304"/>
      <c r="AC3093" s="304"/>
      <c r="AD3093" s="304"/>
      <c r="AE3093" s="304"/>
    </row>
    <row r="3094" spans="28:31" ht="12">
      <c r="AB3094" s="304"/>
      <c r="AC3094" s="304"/>
      <c r="AD3094" s="304"/>
      <c r="AE3094" s="304"/>
    </row>
    <row r="3095" spans="28:31" ht="12">
      <c r="AB3095" s="304"/>
      <c r="AC3095" s="304"/>
      <c r="AD3095" s="304"/>
      <c r="AE3095" s="304"/>
    </row>
    <row r="3096" spans="28:31" ht="12">
      <c r="AB3096" s="304"/>
      <c r="AC3096" s="304"/>
      <c r="AD3096" s="304"/>
      <c r="AE3096" s="304"/>
    </row>
    <row r="3097" spans="28:31" ht="12">
      <c r="AB3097" s="304"/>
      <c r="AC3097" s="304"/>
      <c r="AD3097" s="304"/>
      <c r="AE3097" s="304"/>
    </row>
    <row r="3098" spans="28:31" ht="12">
      <c r="AB3098" s="304"/>
      <c r="AC3098" s="304"/>
      <c r="AD3098" s="304"/>
      <c r="AE3098" s="304"/>
    </row>
    <row r="3099" spans="28:31" ht="12">
      <c r="AB3099" s="304"/>
      <c r="AC3099" s="304"/>
      <c r="AD3099" s="304"/>
      <c r="AE3099" s="304"/>
    </row>
    <row r="3100" spans="28:31" ht="12">
      <c r="AB3100" s="304"/>
      <c r="AC3100" s="304"/>
      <c r="AD3100" s="304"/>
      <c r="AE3100" s="304"/>
    </row>
    <row r="3101" spans="28:31" ht="12">
      <c r="AB3101" s="304"/>
      <c r="AC3101" s="304"/>
      <c r="AD3101" s="304"/>
      <c r="AE3101" s="304"/>
    </row>
    <row r="3102" spans="28:31" ht="12">
      <c r="AB3102" s="304"/>
      <c r="AC3102" s="304"/>
      <c r="AD3102" s="304"/>
      <c r="AE3102" s="304"/>
    </row>
    <row r="3103" spans="28:31" ht="12">
      <c r="AB3103" s="304"/>
      <c r="AC3103" s="304"/>
      <c r="AD3103" s="304"/>
      <c r="AE3103" s="304"/>
    </row>
    <row r="3104" spans="28:31" ht="12">
      <c r="AB3104" s="304"/>
      <c r="AC3104" s="304"/>
      <c r="AD3104" s="304"/>
      <c r="AE3104" s="304"/>
    </row>
    <row r="3105" spans="28:31" ht="12">
      <c r="AB3105" s="304"/>
      <c r="AC3105" s="304"/>
      <c r="AD3105" s="304"/>
      <c r="AE3105" s="304"/>
    </row>
    <row r="3106" spans="28:31" ht="12">
      <c r="AB3106" s="304"/>
      <c r="AC3106" s="304"/>
      <c r="AD3106" s="304"/>
      <c r="AE3106" s="304"/>
    </row>
    <row r="3107" spans="28:31" ht="12">
      <c r="AB3107" s="304"/>
      <c r="AC3107" s="304"/>
      <c r="AD3107" s="304"/>
      <c r="AE3107" s="304"/>
    </row>
    <row r="3108" spans="28:31" ht="12">
      <c r="AB3108" s="304"/>
      <c r="AC3108" s="304"/>
      <c r="AD3108" s="304"/>
      <c r="AE3108" s="304"/>
    </row>
    <row r="3109" spans="28:31" ht="12">
      <c r="AB3109" s="304"/>
      <c r="AC3109" s="304"/>
      <c r="AD3109" s="304"/>
      <c r="AE3109" s="304"/>
    </row>
    <row r="3110" spans="28:31" ht="12">
      <c r="AB3110" s="304"/>
      <c r="AC3110" s="304"/>
      <c r="AD3110" s="304"/>
      <c r="AE3110" s="304"/>
    </row>
    <row r="3111" spans="28:31" ht="12">
      <c r="AB3111" s="304"/>
      <c r="AC3111" s="304"/>
      <c r="AD3111" s="304"/>
      <c r="AE3111" s="304"/>
    </row>
    <row r="3112" spans="28:31" ht="12">
      <c r="AB3112" s="304"/>
      <c r="AC3112" s="304"/>
      <c r="AD3112" s="304"/>
      <c r="AE3112" s="304"/>
    </row>
    <row r="3113" spans="28:31" ht="12">
      <c r="AB3113" s="304"/>
      <c r="AC3113" s="304"/>
      <c r="AD3113" s="304"/>
      <c r="AE3113" s="304"/>
    </row>
    <row r="3114" spans="28:31" ht="12">
      <c r="AB3114" s="304"/>
      <c r="AC3114" s="304"/>
      <c r="AD3114" s="304"/>
      <c r="AE3114" s="304"/>
    </row>
    <row r="3115" spans="28:31" ht="12">
      <c r="AB3115" s="304"/>
      <c r="AC3115" s="304"/>
      <c r="AD3115" s="304"/>
      <c r="AE3115" s="304"/>
    </row>
    <row r="3116" spans="28:31" ht="12">
      <c r="AB3116" s="304"/>
      <c r="AC3116" s="304"/>
      <c r="AD3116" s="304"/>
      <c r="AE3116" s="304"/>
    </row>
    <row r="3117" spans="28:31" ht="12">
      <c r="AB3117" s="304"/>
      <c r="AC3117" s="304"/>
      <c r="AD3117" s="304"/>
      <c r="AE3117" s="304"/>
    </row>
    <row r="3118" spans="28:31" ht="12">
      <c r="AB3118" s="304"/>
      <c r="AC3118" s="304"/>
      <c r="AD3118" s="304"/>
      <c r="AE3118" s="304"/>
    </row>
    <row r="3119" spans="28:31" ht="12">
      <c r="AB3119" s="304"/>
      <c r="AC3119" s="304"/>
      <c r="AD3119" s="304"/>
      <c r="AE3119" s="304"/>
    </row>
    <row r="3120" spans="28:31" ht="12">
      <c r="AB3120" s="304"/>
      <c r="AC3120" s="304"/>
      <c r="AD3120" s="304"/>
      <c r="AE3120" s="304"/>
    </row>
    <row r="3121" spans="28:31" ht="12">
      <c r="AB3121" s="304"/>
      <c r="AC3121" s="304"/>
      <c r="AD3121" s="304"/>
      <c r="AE3121" s="304"/>
    </row>
    <row r="3122" spans="28:31" ht="12">
      <c r="AB3122" s="304"/>
      <c r="AC3122" s="304"/>
      <c r="AD3122" s="304"/>
      <c r="AE3122" s="304"/>
    </row>
    <row r="3123" spans="28:31" ht="12">
      <c r="AB3123" s="304"/>
      <c r="AC3123" s="304"/>
      <c r="AD3123" s="304"/>
      <c r="AE3123" s="304"/>
    </row>
    <row r="3124" spans="28:31" ht="12">
      <c r="AB3124" s="304"/>
      <c r="AC3124" s="304"/>
      <c r="AD3124" s="304"/>
      <c r="AE3124" s="304"/>
    </row>
    <row r="3125" spans="28:31" ht="12">
      <c r="AB3125" s="304"/>
      <c r="AC3125" s="304"/>
      <c r="AD3125" s="304"/>
      <c r="AE3125" s="304"/>
    </row>
    <row r="3126" spans="28:31" ht="12">
      <c r="AB3126" s="304"/>
      <c r="AC3126" s="304"/>
      <c r="AD3126" s="304"/>
      <c r="AE3126" s="304"/>
    </row>
    <row r="3127" spans="28:31" ht="12">
      <c r="AB3127" s="304"/>
      <c r="AC3127" s="304"/>
      <c r="AD3127" s="304"/>
      <c r="AE3127" s="304"/>
    </row>
    <row r="3128" spans="28:31" ht="12">
      <c r="AB3128" s="304"/>
      <c r="AC3128" s="304"/>
      <c r="AD3128" s="304"/>
      <c r="AE3128" s="304"/>
    </row>
    <row r="3129" spans="28:31" ht="12">
      <c r="AB3129" s="304"/>
      <c r="AC3129" s="304"/>
      <c r="AD3129" s="304"/>
      <c r="AE3129" s="304"/>
    </row>
    <row r="3130" spans="28:31" ht="12">
      <c r="AB3130" s="304"/>
      <c r="AC3130" s="304"/>
      <c r="AD3130" s="304"/>
      <c r="AE3130" s="304"/>
    </row>
    <row r="3131" spans="28:31" ht="12">
      <c r="AB3131" s="304"/>
      <c r="AC3131" s="304"/>
      <c r="AD3131" s="304"/>
      <c r="AE3131" s="304"/>
    </row>
    <row r="3132" spans="28:31" ht="12">
      <c r="AB3132" s="304"/>
      <c r="AC3132" s="304"/>
      <c r="AD3132" s="304"/>
      <c r="AE3132" s="304"/>
    </row>
    <row r="3133" spans="28:31" ht="12">
      <c r="AB3133" s="304"/>
      <c r="AC3133" s="304"/>
      <c r="AD3133" s="304"/>
      <c r="AE3133" s="304"/>
    </row>
    <row r="3134" spans="28:31" ht="12">
      <c r="AB3134" s="304"/>
      <c r="AC3134" s="304"/>
      <c r="AD3134" s="304"/>
      <c r="AE3134" s="304"/>
    </row>
    <row r="3135" spans="28:31" ht="12">
      <c r="AB3135" s="304"/>
      <c r="AC3135" s="304"/>
      <c r="AD3135" s="304"/>
      <c r="AE3135" s="304"/>
    </row>
    <row r="3136" spans="28:31" ht="12">
      <c r="AB3136" s="304"/>
      <c r="AC3136" s="304"/>
      <c r="AD3136" s="304"/>
      <c r="AE3136" s="304"/>
    </row>
    <row r="3137" spans="28:31" ht="12">
      <c r="AB3137" s="304"/>
      <c r="AC3137" s="304"/>
      <c r="AD3137" s="304"/>
      <c r="AE3137" s="304"/>
    </row>
    <row r="3138" spans="28:31" ht="12">
      <c r="AB3138" s="304"/>
      <c r="AC3138" s="304"/>
      <c r="AD3138" s="304"/>
      <c r="AE3138" s="304"/>
    </row>
    <row r="3139" spans="28:31" ht="12">
      <c r="AB3139" s="304"/>
      <c r="AC3139" s="304"/>
      <c r="AD3139" s="304"/>
      <c r="AE3139" s="304"/>
    </row>
    <row r="3140" spans="28:31" ht="12">
      <c r="AB3140" s="304"/>
      <c r="AC3140" s="304"/>
      <c r="AD3140" s="304"/>
      <c r="AE3140" s="304"/>
    </row>
    <row r="3141" spans="28:31" ht="12">
      <c r="AB3141" s="304"/>
      <c r="AC3141" s="304"/>
      <c r="AD3141" s="304"/>
      <c r="AE3141" s="304"/>
    </row>
    <row r="3142" spans="28:31" ht="12">
      <c r="AB3142" s="304"/>
      <c r="AC3142" s="304"/>
      <c r="AD3142" s="304"/>
      <c r="AE3142" s="304"/>
    </row>
    <row r="3143" spans="28:31" ht="12">
      <c r="AB3143" s="304"/>
      <c r="AC3143" s="304"/>
      <c r="AD3143" s="304"/>
      <c r="AE3143" s="304"/>
    </row>
    <row r="3144" spans="28:31" ht="12">
      <c r="AB3144" s="304"/>
      <c r="AC3144" s="304"/>
      <c r="AD3144" s="304"/>
      <c r="AE3144" s="304"/>
    </row>
    <row r="3145" spans="28:31" ht="12">
      <c r="AB3145" s="304"/>
      <c r="AC3145" s="304"/>
      <c r="AD3145" s="304"/>
      <c r="AE3145" s="304"/>
    </row>
    <row r="3146" spans="28:31" ht="12">
      <c r="AB3146" s="304"/>
      <c r="AC3146" s="304"/>
      <c r="AD3146" s="304"/>
      <c r="AE3146" s="304"/>
    </row>
    <row r="3147" spans="28:31" ht="12">
      <c r="AB3147" s="304"/>
      <c r="AC3147" s="304"/>
      <c r="AD3147" s="304"/>
      <c r="AE3147" s="304"/>
    </row>
    <row r="3148" spans="28:31" ht="12">
      <c r="AB3148" s="304"/>
      <c r="AC3148" s="304"/>
      <c r="AD3148" s="304"/>
      <c r="AE3148" s="304"/>
    </row>
    <row r="3149" spans="28:31" ht="12">
      <c r="AB3149" s="304"/>
      <c r="AC3149" s="304"/>
      <c r="AD3149" s="304"/>
      <c r="AE3149" s="304"/>
    </row>
    <row r="3150" spans="28:31" ht="12">
      <c r="AB3150" s="304"/>
      <c r="AC3150" s="304"/>
      <c r="AD3150" s="304"/>
      <c r="AE3150" s="304"/>
    </row>
    <row r="3151" spans="28:31" ht="12">
      <c r="AB3151" s="304"/>
      <c r="AC3151" s="304"/>
      <c r="AD3151" s="304"/>
      <c r="AE3151" s="304"/>
    </row>
    <row r="3152" spans="28:31" ht="12">
      <c r="AB3152" s="304"/>
      <c r="AC3152" s="304"/>
      <c r="AD3152" s="304"/>
      <c r="AE3152" s="304"/>
    </row>
    <row r="3153" spans="28:31" ht="12">
      <c r="AB3153" s="304"/>
      <c r="AC3153" s="304"/>
      <c r="AD3153" s="304"/>
      <c r="AE3153" s="304"/>
    </row>
    <row r="3154" spans="28:31" ht="12">
      <c r="AB3154" s="304"/>
      <c r="AC3154" s="304"/>
      <c r="AD3154" s="304"/>
      <c r="AE3154" s="304"/>
    </row>
    <row r="3155" spans="28:31" ht="12">
      <c r="AB3155" s="304"/>
      <c r="AC3155" s="304"/>
      <c r="AD3155" s="304"/>
      <c r="AE3155" s="304"/>
    </row>
    <row r="3156" spans="28:31" ht="12">
      <c r="AB3156" s="304"/>
      <c r="AC3156" s="304"/>
      <c r="AD3156" s="304"/>
      <c r="AE3156" s="304"/>
    </row>
    <row r="3157" spans="28:31" ht="12">
      <c r="AB3157" s="304"/>
      <c r="AC3157" s="304"/>
      <c r="AD3157" s="304"/>
      <c r="AE3157" s="304"/>
    </row>
    <row r="3158" spans="28:31" ht="12">
      <c r="AB3158" s="304"/>
      <c r="AC3158" s="304"/>
      <c r="AD3158" s="304"/>
      <c r="AE3158" s="304"/>
    </row>
    <row r="3159" spans="28:31" ht="12">
      <c r="AB3159" s="304"/>
      <c r="AC3159" s="304"/>
      <c r="AD3159" s="304"/>
      <c r="AE3159" s="304"/>
    </row>
    <row r="3160" spans="28:31" ht="12">
      <c r="AB3160" s="304"/>
      <c r="AC3160" s="304"/>
      <c r="AD3160" s="304"/>
      <c r="AE3160" s="304"/>
    </row>
    <row r="3161" spans="28:31" ht="12">
      <c r="AB3161" s="304"/>
      <c r="AC3161" s="304"/>
      <c r="AD3161" s="304"/>
      <c r="AE3161" s="304"/>
    </row>
    <row r="3162" spans="28:31" ht="12">
      <c r="AB3162" s="304"/>
      <c r="AC3162" s="304"/>
      <c r="AD3162" s="304"/>
      <c r="AE3162" s="304"/>
    </row>
    <row r="3163" spans="28:31" ht="12">
      <c r="AB3163" s="304"/>
      <c r="AC3163" s="304"/>
      <c r="AD3163" s="304"/>
      <c r="AE3163" s="304"/>
    </row>
    <row r="3164" spans="28:31" ht="12">
      <c r="AB3164" s="304"/>
      <c r="AC3164" s="304"/>
      <c r="AD3164" s="304"/>
      <c r="AE3164" s="304"/>
    </row>
    <row r="3165" spans="28:31" ht="12">
      <c r="AB3165" s="304"/>
      <c r="AC3165" s="304"/>
      <c r="AD3165" s="304"/>
      <c r="AE3165" s="304"/>
    </row>
    <row r="3166" spans="28:31" ht="12">
      <c r="AB3166" s="304"/>
      <c r="AC3166" s="304"/>
      <c r="AD3166" s="304"/>
      <c r="AE3166" s="304"/>
    </row>
    <row r="3167" spans="28:31" ht="12">
      <c r="AB3167" s="304"/>
      <c r="AC3167" s="304"/>
      <c r="AD3167" s="304"/>
      <c r="AE3167" s="304"/>
    </row>
    <row r="3168" spans="28:31" ht="12">
      <c r="AB3168" s="304"/>
      <c r="AC3168" s="304"/>
      <c r="AD3168" s="304"/>
      <c r="AE3168" s="304"/>
    </row>
    <row r="3169" spans="28:31" ht="12">
      <c r="AB3169" s="304"/>
      <c r="AC3169" s="304"/>
      <c r="AD3169" s="304"/>
      <c r="AE3169" s="304"/>
    </row>
    <row r="3170" spans="28:31" ht="12">
      <c r="AB3170" s="304"/>
      <c r="AC3170" s="304"/>
      <c r="AD3170" s="304"/>
      <c r="AE3170" s="304"/>
    </row>
    <row r="3171" spans="28:31" ht="12">
      <c r="AB3171" s="304"/>
      <c r="AC3171" s="304"/>
      <c r="AD3171" s="304"/>
      <c r="AE3171" s="304"/>
    </row>
    <row r="3172" spans="28:31" ht="12">
      <c r="AB3172" s="304"/>
      <c r="AC3172" s="304"/>
      <c r="AD3172" s="304"/>
      <c r="AE3172" s="304"/>
    </row>
    <row r="3173" spans="28:31" ht="12">
      <c r="AB3173" s="304"/>
      <c r="AC3173" s="304"/>
      <c r="AD3173" s="304"/>
      <c r="AE3173" s="304"/>
    </row>
    <row r="3174" spans="28:31" ht="12">
      <c r="AB3174" s="304"/>
      <c r="AC3174" s="304"/>
      <c r="AD3174" s="304"/>
      <c r="AE3174" s="304"/>
    </row>
    <row r="3175" spans="28:31" ht="12">
      <c r="AB3175" s="304"/>
      <c r="AC3175" s="304"/>
      <c r="AD3175" s="304"/>
      <c r="AE3175" s="304"/>
    </row>
    <row r="3176" spans="28:31" ht="12">
      <c r="AB3176" s="304"/>
      <c r="AC3176" s="304"/>
      <c r="AD3176" s="304"/>
      <c r="AE3176" s="304"/>
    </row>
    <row r="3177" spans="28:31" ht="12">
      <c r="AB3177" s="304"/>
      <c r="AC3177" s="304"/>
      <c r="AD3177" s="304"/>
      <c r="AE3177" s="304"/>
    </row>
    <row r="3178" spans="28:31" ht="12">
      <c r="AB3178" s="304"/>
      <c r="AC3178" s="304"/>
      <c r="AD3178" s="304"/>
      <c r="AE3178" s="304"/>
    </row>
    <row r="3179" spans="28:31" ht="12">
      <c r="AB3179" s="304"/>
      <c r="AC3179" s="304"/>
      <c r="AD3179" s="304"/>
      <c r="AE3179" s="304"/>
    </row>
    <row r="3180" spans="28:31" ht="12">
      <c r="AB3180" s="304"/>
      <c r="AC3180" s="304"/>
      <c r="AD3180" s="304"/>
      <c r="AE3180" s="304"/>
    </row>
    <row r="3181" spans="28:31" ht="12">
      <c r="AB3181" s="304"/>
      <c r="AC3181" s="304"/>
      <c r="AD3181" s="304"/>
      <c r="AE3181" s="304"/>
    </row>
    <row r="3182" spans="28:31" ht="12">
      <c r="AB3182" s="304"/>
      <c r="AC3182" s="304"/>
      <c r="AD3182" s="304"/>
      <c r="AE3182" s="304"/>
    </row>
    <row r="3183" spans="28:31" ht="12">
      <c r="AB3183" s="304"/>
      <c r="AC3183" s="304"/>
      <c r="AD3183" s="304"/>
      <c r="AE3183" s="304"/>
    </row>
    <row r="3184" spans="28:31" ht="12">
      <c r="AB3184" s="304"/>
      <c r="AC3184" s="304"/>
      <c r="AD3184" s="304"/>
      <c r="AE3184" s="304"/>
    </row>
    <row r="3185" spans="28:31" ht="12">
      <c r="AB3185" s="304"/>
      <c r="AC3185" s="304"/>
      <c r="AD3185" s="304"/>
      <c r="AE3185" s="304"/>
    </row>
    <row r="3186" spans="28:31" ht="12">
      <c r="AB3186" s="304"/>
      <c r="AC3186" s="304"/>
      <c r="AD3186" s="304"/>
      <c r="AE3186" s="304"/>
    </row>
    <row r="3187" spans="28:31" ht="12">
      <c r="AB3187" s="304"/>
      <c r="AC3187" s="304"/>
      <c r="AD3187" s="304"/>
      <c r="AE3187" s="304"/>
    </row>
    <row r="3188" spans="28:31" ht="12">
      <c r="AB3188" s="304"/>
      <c r="AC3188" s="304"/>
      <c r="AD3188" s="304"/>
      <c r="AE3188" s="304"/>
    </row>
    <row r="3189" spans="28:31" ht="12">
      <c r="AB3189" s="304"/>
      <c r="AC3189" s="304"/>
      <c r="AD3189" s="304"/>
      <c r="AE3189" s="304"/>
    </row>
    <row r="3190" spans="28:31" ht="12">
      <c r="AB3190" s="304"/>
      <c r="AC3190" s="304"/>
      <c r="AD3190" s="304"/>
      <c r="AE3190" s="304"/>
    </row>
    <row r="3191" spans="28:31" ht="12">
      <c r="AB3191" s="304"/>
      <c r="AC3191" s="304"/>
      <c r="AD3191" s="304"/>
      <c r="AE3191" s="304"/>
    </row>
    <row r="3192" spans="28:31" ht="12">
      <c r="AB3192" s="304"/>
      <c r="AC3192" s="304"/>
      <c r="AD3192" s="304"/>
      <c r="AE3192" s="304"/>
    </row>
    <row r="3193" spans="28:31" ht="12">
      <c r="AB3193" s="304"/>
      <c r="AC3193" s="304"/>
      <c r="AD3193" s="304"/>
      <c r="AE3193" s="304"/>
    </row>
    <row r="3194" spans="28:31" ht="12">
      <c r="AB3194" s="304"/>
      <c r="AC3194" s="304"/>
      <c r="AD3194" s="304"/>
      <c r="AE3194" s="304"/>
    </row>
    <row r="3195" spans="28:31" ht="12">
      <c r="AB3195" s="304"/>
      <c r="AC3195" s="304"/>
      <c r="AD3195" s="304"/>
      <c r="AE3195" s="304"/>
    </row>
    <row r="3196" spans="28:31" ht="12">
      <c r="AB3196" s="304"/>
      <c r="AC3196" s="304"/>
      <c r="AD3196" s="304"/>
      <c r="AE3196" s="304"/>
    </row>
    <row r="3197" spans="28:31" ht="12">
      <c r="AB3197" s="304"/>
      <c r="AC3197" s="304"/>
      <c r="AD3197" s="304"/>
      <c r="AE3197" s="304"/>
    </row>
    <row r="3198" spans="28:31" ht="12">
      <c r="AB3198" s="304"/>
      <c r="AC3198" s="304"/>
      <c r="AD3198" s="304"/>
      <c r="AE3198" s="304"/>
    </row>
    <row r="3199" spans="28:31" ht="12">
      <c r="AB3199" s="304"/>
      <c r="AC3199" s="304"/>
      <c r="AD3199" s="304"/>
      <c r="AE3199" s="304"/>
    </row>
    <row r="3200" spans="28:31" ht="12">
      <c r="AB3200" s="304"/>
      <c r="AC3200" s="304"/>
      <c r="AD3200" s="304"/>
      <c r="AE3200" s="304"/>
    </row>
    <row r="3201" spans="28:31" ht="12">
      <c r="AB3201" s="304"/>
      <c r="AC3201" s="304"/>
      <c r="AD3201" s="304"/>
      <c r="AE3201" s="304"/>
    </row>
    <row r="3202" spans="28:31" ht="12">
      <c r="AB3202" s="304"/>
      <c r="AC3202" s="304"/>
      <c r="AD3202" s="304"/>
      <c r="AE3202" s="304"/>
    </row>
    <row r="3203" spans="28:31" ht="12">
      <c r="AB3203" s="304"/>
      <c r="AC3203" s="304"/>
      <c r="AD3203" s="304"/>
      <c r="AE3203" s="304"/>
    </row>
    <row r="3204" spans="28:31" ht="12">
      <c r="AB3204" s="304"/>
      <c r="AC3204" s="304"/>
      <c r="AD3204" s="304"/>
      <c r="AE3204" s="304"/>
    </row>
    <row r="3205" spans="28:31" ht="12">
      <c r="AB3205" s="304"/>
      <c r="AC3205" s="304"/>
      <c r="AD3205" s="304"/>
      <c r="AE3205" s="304"/>
    </row>
    <row r="3206" spans="28:31" ht="12">
      <c r="AB3206" s="304"/>
      <c r="AC3206" s="304"/>
      <c r="AD3206" s="304"/>
      <c r="AE3206" s="304"/>
    </row>
    <row r="3207" spans="28:31" ht="12">
      <c r="AB3207" s="304"/>
      <c r="AC3207" s="304"/>
      <c r="AD3207" s="304"/>
      <c r="AE3207" s="304"/>
    </row>
    <row r="3208" spans="28:31" ht="12">
      <c r="AB3208" s="304"/>
      <c r="AC3208" s="304"/>
      <c r="AD3208" s="304"/>
      <c r="AE3208" s="304"/>
    </row>
    <row r="3209" spans="28:31" ht="12">
      <c r="AB3209" s="304"/>
      <c r="AC3209" s="304"/>
      <c r="AD3209" s="304"/>
      <c r="AE3209" s="304"/>
    </row>
    <row r="3210" spans="28:31" ht="12">
      <c r="AB3210" s="304"/>
      <c r="AC3210" s="304"/>
      <c r="AD3210" s="304"/>
      <c r="AE3210" s="304"/>
    </row>
    <row r="3211" spans="28:31" ht="12">
      <c r="AB3211" s="304"/>
      <c r="AC3211" s="304"/>
      <c r="AD3211" s="304"/>
      <c r="AE3211" s="304"/>
    </row>
    <row r="3212" spans="28:31" ht="12">
      <c r="AB3212" s="304"/>
      <c r="AC3212" s="304"/>
      <c r="AD3212" s="304"/>
      <c r="AE3212" s="304"/>
    </row>
    <row r="3213" spans="28:31" ht="12">
      <c r="AB3213" s="304"/>
      <c r="AC3213" s="304"/>
      <c r="AD3213" s="304"/>
      <c r="AE3213" s="304"/>
    </row>
    <row r="3214" spans="28:31" ht="12">
      <c r="AB3214" s="304"/>
      <c r="AC3214" s="304"/>
      <c r="AD3214" s="304"/>
      <c r="AE3214" s="304"/>
    </row>
    <row r="3215" spans="28:31" ht="12">
      <c r="AB3215" s="304"/>
      <c r="AC3215" s="304"/>
      <c r="AD3215" s="304"/>
      <c r="AE3215" s="304"/>
    </row>
    <row r="3216" spans="28:31" ht="12">
      <c r="AB3216" s="304"/>
      <c r="AC3216" s="304"/>
      <c r="AD3216" s="304"/>
      <c r="AE3216" s="304"/>
    </row>
    <row r="3217" spans="28:31" ht="12">
      <c r="AB3217" s="304"/>
      <c r="AC3217" s="304"/>
      <c r="AD3217" s="304"/>
      <c r="AE3217" s="304"/>
    </row>
    <row r="3218" spans="28:31" ht="12">
      <c r="AB3218" s="304"/>
      <c r="AC3218" s="304"/>
      <c r="AD3218" s="304"/>
      <c r="AE3218" s="304"/>
    </row>
    <row r="3219" spans="28:31" ht="12">
      <c r="AB3219" s="304"/>
      <c r="AC3219" s="304"/>
      <c r="AD3219" s="304"/>
      <c r="AE3219" s="304"/>
    </row>
    <row r="3220" spans="28:31" ht="12">
      <c r="AB3220" s="304"/>
      <c r="AC3220" s="304"/>
      <c r="AD3220" s="304"/>
      <c r="AE3220" s="304"/>
    </row>
    <row r="3221" spans="28:31" ht="12">
      <c r="AB3221" s="304"/>
      <c r="AC3221" s="304"/>
      <c r="AD3221" s="304"/>
      <c r="AE3221" s="304"/>
    </row>
    <row r="3222" spans="28:31" ht="12">
      <c r="AB3222" s="304"/>
      <c r="AC3222" s="304"/>
      <c r="AD3222" s="304"/>
      <c r="AE3222" s="304"/>
    </row>
    <row r="3223" spans="28:31" ht="12">
      <c r="AB3223" s="304"/>
      <c r="AC3223" s="304"/>
      <c r="AD3223" s="304"/>
      <c r="AE3223" s="304"/>
    </row>
    <row r="3224" spans="28:31" ht="12">
      <c r="AB3224" s="304"/>
      <c r="AC3224" s="304"/>
      <c r="AD3224" s="304"/>
      <c r="AE3224" s="304"/>
    </row>
    <row r="3225" spans="28:31" ht="12">
      <c r="AB3225" s="304"/>
      <c r="AC3225" s="304"/>
      <c r="AD3225" s="304"/>
      <c r="AE3225" s="304"/>
    </row>
    <row r="3226" spans="28:31" ht="12">
      <c r="AB3226" s="304"/>
      <c r="AC3226" s="304"/>
      <c r="AD3226" s="304"/>
      <c r="AE3226" s="304"/>
    </row>
    <row r="3227" spans="28:31" ht="12">
      <c r="AB3227" s="304"/>
      <c r="AC3227" s="304"/>
      <c r="AD3227" s="304"/>
      <c r="AE3227" s="304"/>
    </row>
    <row r="3228" spans="28:31" ht="12">
      <c r="AB3228" s="304"/>
      <c r="AC3228" s="304"/>
      <c r="AD3228" s="304"/>
      <c r="AE3228" s="304"/>
    </row>
    <row r="3229" spans="28:31" ht="12">
      <c r="AB3229" s="304"/>
      <c r="AC3229" s="304"/>
      <c r="AD3229" s="304"/>
      <c r="AE3229" s="304"/>
    </row>
    <row r="3230" spans="28:31" ht="12">
      <c r="AB3230" s="304"/>
      <c r="AC3230" s="304"/>
      <c r="AD3230" s="304"/>
      <c r="AE3230" s="304"/>
    </row>
    <row r="3231" spans="28:31" ht="12">
      <c r="AB3231" s="304"/>
      <c r="AC3231" s="304"/>
      <c r="AD3231" s="304"/>
      <c r="AE3231" s="304"/>
    </row>
    <row r="3232" spans="28:31" ht="12">
      <c r="AB3232" s="304"/>
      <c r="AC3232" s="304"/>
      <c r="AD3232" s="304"/>
      <c r="AE3232" s="304"/>
    </row>
    <row r="3233" spans="28:31" ht="12">
      <c r="AB3233" s="304"/>
      <c r="AC3233" s="304"/>
      <c r="AD3233" s="304"/>
      <c r="AE3233" s="304"/>
    </row>
    <row r="3234" spans="28:31" ht="12">
      <c r="AB3234" s="304"/>
      <c r="AC3234" s="304"/>
      <c r="AD3234" s="304"/>
      <c r="AE3234" s="304"/>
    </row>
    <row r="3235" spans="28:31" ht="12">
      <c r="AB3235" s="304"/>
      <c r="AC3235" s="304"/>
      <c r="AD3235" s="304"/>
      <c r="AE3235" s="304"/>
    </row>
    <row r="3236" spans="28:31" ht="12">
      <c r="AB3236" s="304"/>
      <c r="AC3236" s="304"/>
      <c r="AD3236" s="304"/>
      <c r="AE3236" s="304"/>
    </row>
    <row r="3237" spans="28:31" ht="12">
      <c r="AB3237" s="304"/>
      <c r="AC3237" s="304"/>
      <c r="AD3237" s="304"/>
      <c r="AE3237" s="304"/>
    </row>
    <row r="3238" spans="28:31" ht="12">
      <c r="AB3238" s="304"/>
      <c r="AC3238" s="304"/>
      <c r="AD3238" s="304"/>
      <c r="AE3238" s="304"/>
    </row>
    <row r="3239" spans="28:31" ht="12">
      <c r="AB3239" s="304"/>
      <c r="AC3239" s="304"/>
      <c r="AD3239" s="304"/>
      <c r="AE3239" s="304"/>
    </row>
    <row r="3240" spans="28:31" ht="12">
      <c r="AB3240" s="304"/>
      <c r="AC3240" s="304"/>
      <c r="AD3240" s="304"/>
      <c r="AE3240" s="304"/>
    </row>
    <row r="3241" spans="28:31" ht="12">
      <c r="AB3241" s="304"/>
      <c r="AC3241" s="304"/>
      <c r="AD3241" s="304"/>
      <c r="AE3241" s="304"/>
    </row>
    <row r="3242" spans="28:31" ht="12">
      <c r="AB3242" s="304"/>
      <c r="AC3242" s="304"/>
      <c r="AD3242" s="304"/>
      <c r="AE3242" s="304"/>
    </row>
    <row r="3243" spans="28:31" ht="12">
      <c r="AB3243" s="304"/>
      <c r="AC3243" s="304"/>
      <c r="AD3243" s="304"/>
      <c r="AE3243" s="304"/>
    </row>
    <row r="3244" spans="28:31" ht="12">
      <c r="AB3244" s="304"/>
      <c r="AC3244" s="304"/>
      <c r="AD3244" s="304"/>
      <c r="AE3244" s="304"/>
    </row>
    <row r="3245" spans="28:31" ht="12">
      <c r="AB3245" s="304"/>
      <c r="AC3245" s="304"/>
      <c r="AD3245" s="304"/>
      <c r="AE3245" s="304"/>
    </row>
    <row r="3246" spans="28:31" ht="12">
      <c r="AB3246" s="304"/>
      <c r="AC3246" s="304"/>
      <c r="AD3246" s="304"/>
      <c r="AE3246" s="304"/>
    </row>
    <row r="3247" spans="28:31" ht="12">
      <c r="AB3247" s="304"/>
      <c r="AC3247" s="304"/>
      <c r="AD3247" s="304"/>
      <c r="AE3247" s="304"/>
    </row>
    <row r="3248" spans="28:31" ht="12">
      <c r="AB3248" s="304"/>
      <c r="AC3248" s="304"/>
      <c r="AD3248" s="304"/>
      <c r="AE3248" s="304"/>
    </row>
    <row r="3249" spans="28:31" ht="12">
      <c r="AB3249" s="304"/>
      <c r="AC3249" s="304"/>
      <c r="AD3249" s="304"/>
      <c r="AE3249" s="304"/>
    </row>
    <row r="3250" spans="28:31" ht="12">
      <c r="AB3250" s="304"/>
      <c r="AC3250" s="304"/>
      <c r="AD3250" s="304"/>
      <c r="AE3250" s="304"/>
    </row>
    <row r="3251" spans="28:31" ht="12">
      <c r="AB3251" s="304"/>
      <c r="AC3251" s="304"/>
      <c r="AD3251" s="304"/>
      <c r="AE3251" s="304"/>
    </row>
    <row r="3252" spans="28:31" ht="12">
      <c r="AB3252" s="304"/>
      <c r="AC3252" s="304"/>
      <c r="AD3252" s="304"/>
      <c r="AE3252" s="304"/>
    </row>
    <row r="3253" spans="28:31" ht="12">
      <c r="AB3253" s="304"/>
      <c r="AC3253" s="304"/>
      <c r="AD3253" s="304"/>
      <c r="AE3253" s="304"/>
    </row>
    <row r="3254" spans="28:31" ht="12">
      <c r="AB3254" s="304"/>
      <c r="AC3254" s="304"/>
      <c r="AD3254" s="304"/>
      <c r="AE3254" s="304"/>
    </row>
    <row r="3255" spans="28:31" ht="12">
      <c r="AB3255" s="304"/>
      <c r="AC3255" s="304"/>
      <c r="AD3255" s="304"/>
      <c r="AE3255" s="304"/>
    </row>
    <row r="3256" spans="28:31" ht="12">
      <c r="AB3256" s="304"/>
      <c r="AC3256" s="304"/>
      <c r="AD3256" s="304"/>
      <c r="AE3256" s="304"/>
    </row>
    <row r="3257" spans="28:31" ht="12">
      <c r="AB3257" s="304"/>
      <c r="AC3257" s="304"/>
      <c r="AD3257" s="304"/>
      <c r="AE3257" s="304"/>
    </row>
    <row r="3258" spans="28:31" ht="12">
      <c r="AB3258" s="304"/>
      <c r="AC3258" s="304"/>
      <c r="AD3258" s="304"/>
      <c r="AE3258" s="304"/>
    </row>
    <row r="3259" spans="28:31" ht="12">
      <c r="AB3259" s="304"/>
      <c r="AC3259" s="304"/>
      <c r="AD3259" s="304"/>
      <c r="AE3259" s="304"/>
    </row>
    <row r="3260" spans="28:31" ht="12">
      <c r="AB3260" s="304"/>
      <c r="AC3260" s="304"/>
      <c r="AD3260" s="304"/>
      <c r="AE3260" s="304"/>
    </row>
    <row r="3261" spans="28:31" ht="12">
      <c r="AB3261" s="304"/>
      <c r="AC3261" s="304"/>
      <c r="AD3261" s="304"/>
      <c r="AE3261" s="304"/>
    </row>
    <row r="3262" spans="28:31" ht="12">
      <c r="AB3262" s="304"/>
      <c r="AC3262" s="304"/>
      <c r="AD3262" s="304"/>
      <c r="AE3262" s="304"/>
    </row>
    <row r="3263" spans="28:31" ht="12">
      <c r="AB3263" s="304"/>
      <c r="AC3263" s="304"/>
      <c r="AD3263" s="304"/>
      <c r="AE3263" s="304"/>
    </row>
    <row r="3264" spans="28:31" ht="12">
      <c r="AB3264" s="304"/>
      <c r="AC3264" s="304"/>
      <c r="AD3264" s="304"/>
      <c r="AE3264" s="304"/>
    </row>
    <row r="3265" spans="28:31" ht="12">
      <c r="AB3265" s="304"/>
      <c r="AC3265" s="304"/>
      <c r="AD3265" s="304"/>
      <c r="AE3265" s="304"/>
    </row>
    <row r="3266" spans="28:31" ht="12">
      <c r="AB3266" s="304"/>
      <c r="AC3266" s="304"/>
      <c r="AD3266" s="304"/>
      <c r="AE3266" s="304"/>
    </row>
    <row r="3267" spans="28:31" ht="12">
      <c r="AB3267" s="304"/>
      <c r="AC3267" s="304"/>
      <c r="AD3267" s="304"/>
      <c r="AE3267" s="304"/>
    </row>
    <row r="3268" spans="28:31" ht="12">
      <c r="AB3268" s="304"/>
      <c r="AC3268" s="304"/>
      <c r="AD3268" s="304"/>
      <c r="AE3268" s="304"/>
    </row>
    <row r="3269" spans="28:31" ht="12">
      <c r="AB3269" s="304"/>
      <c r="AC3269" s="304"/>
      <c r="AD3269" s="304"/>
      <c r="AE3269" s="304"/>
    </row>
    <row r="3270" spans="28:31" ht="12">
      <c r="AB3270" s="304"/>
      <c r="AC3270" s="304"/>
      <c r="AD3270" s="304"/>
      <c r="AE3270" s="304"/>
    </row>
    <row r="3271" spans="28:31" ht="12">
      <c r="AB3271" s="304"/>
      <c r="AC3271" s="304"/>
      <c r="AD3271" s="304"/>
      <c r="AE3271" s="304"/>
    </row>
    <row r="3272" spans="28:31" ht="12">
      <c r="AB3272" s="304"/>
      <c r="AC3272" s="304"/>
      <c r="AD3272" s="304"/>
      <c r="AE3272" s="304"/>
    </row>
    <row r="3273" spans="28:31" ht="12">
      <c r="AB3273" s="304"/>
      <c r="AC3273" s="304"/>
      <c r="AD3273" s="304"/>
      <c r="AE3273" s="304"/>
    </row>
    <row r="3274" spans="28:31" ht="12">
      <c r="AB3274" s="304"/>
      <c r="AC3274" s="304"/>
      <c r="AD3274" s="304"/>
      <c r="AE3274" s="304"/>
    </row>
    <row r="3275" spans="28:31" ht="12">
      <c r="AB3275" s="304"/>
      <c r="AC3275" s="304"/>
      <c r="AD3275" s="304"/>
      <c r="AE3275" s="304"/>
    </row>
    <row r="3276" spans="28:31" ht="12">
      <c r="AB3276" s="304"/>
      <c r="AC3276" s="304"/>
      <c r="AD3276" s="304"/>
      <c r="AE3276" s="304"/>
    </row>
    <row r="3277" spans="28:31" ht="12">
      <c r="AB3277" s="304"/>
      <c r="AC3277" s="304"/>
      <c r="AD3277" s="304"/>
      <c r="AE3277" s="304"/>
    </row>
    <row r="3278" spans="28:31" ht="12">
      <c r="AB3278" s="304"/>
      <c r="AC3278" s="304"/>
      <c r="AD3278" s="304"/>
      <c r="AE3278" s="304"/>
    </row>
    <row r="3279" spans="28:31" ht="12">
      <c r="AB3279" s="304"/>
      <c r="AC3279" s="304"/>
      <c r="AD3279" s="304"/>
      <c r="AE3279" s="304"/>
    </row>
    <row r="3280" spans="28:31" ht="12">
      <c r="AB3280" s="304"/>
      <c r="AC3280" s="304"/>
      <c r="AD3280" s="304"/>
      <c r="AE3280" s="304"/>
    </row>
    <row r="3281" spans="28:31" ht="12">
      <c r="AB3281" s="304"/>
      <c r="AC3281" s="304"/>
      <c r="AD3281" s="304"/>
      <c r="AE3281" s="304"/>
    </row>
    <row r="3282" spans="28:31" ht="12">
      <c r="AB3282" s="304"/>
      <c r="AC3282" s="304"/>
      <c r="AD3282" s="304"/>
      <c r="AE3282" s="304"/>
    </row>
    <row r="3283" spans="28:31" ht="12">
      <c r="AB3283" s="304"/>
      <c r="AC3283" s="304"/>
      <c r="AD3283" s="304"/>
      <c r="AE3283" s="304"/>
    </row>
    <row r="3284" spans="28:31" ht="12">
      <c r="AB3284" s="304"/>
      <c r="AC3284" s="304"/>
      <c r="AD3284" s="304"/>
      <c r="AE3284" s="304"/>
    </row>
    <row r="3285" spans="28:31" ht="12">
      <c r="AB3285" s="304"/>
      <c r="AC3285" s="304"/>
      <c r="AD3285" s="304"/>
      <c r="AE3285" s="304"/>
    </row>
    <row r="3286" spans="28:31" ht="12">
      <c r="AB3286" s="304"/>
      <c r="AC3286" s="304"/>
      <c r="AD3286" s="304"/>
      <c r="AE3286" s="304"/>
    </row>
    <row r="3287" spans="28:31" ht="12">
      <c r="AB3287" s="304"/>
      <c r="AC3287" s="304"/>
      <c r="AD3287" s="304"/>
      <c r="AE3287" s="304"/>
    </row>
    <row r="3288" spans="28:31" ht="12">
      <c r="AB3288" s="304"/>
      <c r="AC3288" s="304"/>
      <c r="AD3288" s="304"/>
      <c r="AE3288" s="304"/>
    </row>
    <row r="3289" spans="28:31" ht="12">
      <c r="AB3289" s="304"/>
      <c r="AC3289" s="304"/>
      <c r="AD3289" s="304"/>
      <c r="AE3289" s="304"/>
    </row>
    <row r="3290" spans="28:31" ht="12">
      <c r="AB3290" s="304"/>
      <c r="AC3290" s="304"/>
      <c r="AD3290" s="304"/>
      <c r="AE3290" s="304"/>
    </row>
    <row r="3291" spans="28:31" ht="12">
      <c r="AB3291" s="304"/>
      <c r="AC3291" s="304"/>
      <c r="AD3291" s="304"/>
      <c r="AE3291" s="304"/>
    </row>
    <row r="3292" spans="28:31" ht="12">
      <c r="AB3292" s="304"/>
      <c r="AC3292" s="304"/>
      <c r="AD3292" s="304"/>
      <c r="AE3292" s="304"/>
    </row>
    <row r="3293" spans="28:31" ht="12">
      <c r="AB3293" s="304"/>
      <c r="AC3293" s="304"/>
      <c r="AD3293" s="304"/>
      <c r="AE3293" s="304"/>
    </row>
    <row r="3294" spans="28:31" ht="12">
      <c r="AB3294" s="304"/>
      <c r="AC3294" s="304"/>
      <c r="AD3294" s="304"/>
      <c r="AE3294" s="304"/>
    </row>
    <row r="3295" spans="28:31" ht="12">
      <c r="AB3295" s="304"/>
      <c r="AC3295" s="304"/>
      <c r="AD3295" s="304"/>
      <c r="AE3295" s="304"/>
    </row>
    <row r="3296" spans="28:31" ht="12">
      <c r="AB3296" s="304"/>
      <c r="AC3296" s="304"/>
      <c r="AD3296" s="304"/>
      <c r="AE3296" s="304"/>
    </row>
    <row r="3297" spans="28:31" ht="12">
      <c r="AB3297" s="304"/>
      <c r="AC3297" s="304"/>
      <c r="AD3297" s="304"/>
      <c r="AE3297" s="304"/>
    </row>
    <row r="3298" spans="28:31" ht="12">
      <c r="AB3298" s="304"/>
      <c r="AC3298" s="304"/>
      <c r="AD3298" s="304"/>
      <c r="AE3298" s="304"/>
    </row>
    <row r="3299" spans="28:31" ht="12">
      <c r="AB3299" s="304"/>
      <c r="AC3299" s="304"/>
      <c r="AD3299" s="304"/>
      <c r="AE3299" s="304"/>
    </row>
    <row r="3300" spans="28:31" ht="12">
      <c r="AB3300" s="304"/>
      <c r="AC3300" s="304"/>
      <c r="AD3300" s="304"/>
      <c r="AE3300" s="304"/>
    </row>
    <row r="3301" spans="28:31" ht="12">
      <c r="AB3301" s="304"/>
      <c r="AC3301" s="304"/>
      <c r="AD3301" s="304"/>
      <c r="AE3301" s="304"/>
    </row>
    <row r="3302" spans="28:31" ht="12">
      <c r="AB3302" s="304"/>
      <c r="AC3302" s="304"/>
      <c r="AD3302" s="304"/>
      <c r="AE3302" s="304"/>
    </row>
    <row r="3303" spans="28:31" ht="12">
      <c r="AB3303" s="304"/>
      <c r="AC3303" s="304"/>
      <c r="AD3303" s="304"/>
      <c r="AE3303" s="304"/>
    </row>
    <row r="3304" spans="28:31" ht="12">
      <c r="AB3304" s="304"/>
      <c r="AC3304" s="304"/>
      <c r="AD3304" s="304"/>
      <c r="AE3304" s="304"/>
    </row>
    <row r="3305" spans="28:31" ht="12">
      <c r="AB3305" s="304"/>
      <c r="AC3305" s="304"/>
      <c r="AD3305" s="304"/>
      <c r="AE3305" s="304"/>
    </row>
    <row r="3306" spans="28:31" ht="12">
      <c r="AB3306" s="304"/>
      <c r="AC3306" s="304"/>
      <c r="AD3306" s="304"/>
      <c r="AE3306" s="304"/>
    </row>
    <row r="3307" spans="28:31" ht="12">
      <c r="AB3307" s="304"/>
      <c r="AC3307" s="304"/>
      <c r="AD3307" s="304"/>
      <c r="AE3307" s="304"/>
    </row>
    <row r="3308" spans="28:31" ht="12">
      <c r="AB3308" s="304"/>
      <c r="AC3308" s="304"/>
      <c r="AD3308" s="304"/>
      <c r="AE3308" s="304"/>
    </row>
    <row r="3309" spans="28:31" ht="12">
      <c r="AB3309" s="304"/>
      <c r="AC3309" s="304"/>
      <c r="AD3309" s="304"/>
      <c r="AE3309" s="304"/>
    </row>
    <row r="3310" spans="28:31" ht="12">
      <c r="AB3310" s="304"/>
      <c r="AC3310" s="304"/>
      <c r="AD3310" s="304"/>
      <c r="AE3310" s="304"/>
    </row>
    <row r="3311" spans="28:31" ht="12">
      <c r="AB3311" s="304"/>
      <c r="AC3311" s="304"/>
      <c r="AD3311" s="304"/>
      <c r="AE3311" s="304"/>
    </row>
    <row r="3312" spans="28:31" ht="12">
      <c r="AB3312" s="304"/>
      <c r="AC3312" s="304"/>
      <c r="AD3312" s="304"/>
      <c r="AE3312" s="304"/>
    </row>
    <row r="3313" spans="28:31" ht="12">
      <c r="AB3313" s="304"/>
      <c r="AC3313" s="304"/>
      <c r="AD3313" s="304"/>
      <c r="AE3313" s="304"/>
    </row>
    <row r="3314" spans="28:31" ht="12">
      <c r="AB3314" s="304"/>
      <c r="AC3314" s="304"/>
      <c r="AD3314" s="304"/>
      <c r="AE3314" s="304"/>
    </row>
    <row r="3315" spans="28:31" ht="12">
      <c r="AB3315" s="304"/>
      <c r="AC3315" s="304"/>
      <c r="AD3315" s="304"/>
      <c r="AE3315" s="304"/>
    </row>
    <row r="3316" spans="28:31" ht="12">
      <c r="AB3316" s="304"/>
      <c r="AC3316" s="304"/>
      <c r="AD3316" s="304"/>
      <c r="AE3316" s="304"/>
    </row>
    <row r="3317" spans="28:31" ht="12">
      <c r="AB3317" s="304"/>
      <c r="AC3317" s="304"/>
      <c r="AD3317" s="304"/>
      <c r="AE3317" s="304"/>
    </row>
    <row r="3318" spans="28:31" ht="12">
      <c r="AB3318" s="304"/>
      <c r="AC3318" s="304"/>
      <c r="AD3318" s="304"/>
      <c r="AE3318" s="304"/>
    </row>
    <row r="3319" spans="28:31" ht="12">
      <c r="AB3319" s="304"/>
      <c r="AC3319" s="304"/>
      <c r="AD3319" s="304"/>
      <c r="AE3319" s="304"/>
    </row>
    <row r="3320" spans="28:31" ht="12">
      <c r="AB3320" s="304"/>
      <c r="AC3320" s="304"/>
      <c r="AD3320" s="304"/>
      <c r="AE3320" s="304"/>
    </row>
    <row r="3321" spans="28:31" ht="12">
      <c r="AB3321" s="304"/>
      <c r="AC3321" s="304"/>
      <c r="AD3321" s="304"/>
      <c r="AE3321" s="304"/>
    </row>
    <row r="3322" spans="28:31" ht="12">
      <c r="AB3322" s="304"/>
      <c r="AC3322" s="304"/>
      <c r="AD3322" s="304"/>
      <c r="AE3322" s="304"/>
    </row>
    <row r="3323" spans="28:31" ht="12">
      <c r="AB3323" s="304"/>
      <c r="AC3323" s="304"/>
      <c r="AD3323" s="304"/>
      <c r="AE3323" s="304"/>
    </row>
    <row r="3324" spans="28:31" ht="12">
      <c r="AB3324" s="304"/>
      <c r="AC3324" s="304"/>
      <c r="AD3324" s="304"/>
      <c r="AE3324" s="304"/>
    </row>
    <row r="3325" spans="28:31" ht="12">
      <c r="AB3325" s="304"/>
      <c r="AC3325" s="304"/>
      <c r="AD3325" s="304"/>
      <c r="AE3325" s="304"/>
    </row>
    <row r="3326" spans="28:31" ht="12">
      <c r="AB3326" s="304"/>
      <c r="AC3326" s="304"/>
      <c r="AD3326" s="304"/>
      <c r="AE3326" s="304"/>
    </row>
    <row r="3327" spans="28:31" ht="12">
      <c r="AB3327" s="304"/>
      <c r="AC3327" s="304"/>
      <c r="AD3327" s="304"/>
      <c r="AE3327" s="304"/>
    </row>
    <row r="3328" spans="28:31" ht="12">
      <c r="AB3328" s="304"/>
      <c r="AC3328" s="304"/>
      <c r="AD3328" s="304"/>
      <c r="AE3328" s="304"/>
    </row>
    <row r="3329" spans="28:31" ht="12">
      <c r="AB3329" s="304"/>
      <c r="AC3329" s="304"/>
      <c r="AD3329" s="304"/>
      <c r="AE3329" s="304"/>
    </row>
    <row r="3330" spans="28:31" ht="12">
      <c r="AB3330" s="304"/>
      <c r="AC3330" s="304"/>
      <c r="AD3330" s="304"/>
      <c r="AE3330" s="304"/>
    </row>
    <row r="3331" spans="28:31" ht="12">
      <c r="AB3331" s="304"/>
      <c r="AC3331" s="304"/>
      <c r="AD3331" s="304"/>
      <c r="AE3331" s="304"/>
    </row>
    <row r="3332" spans="28:31" ht="12">
      <c r="AB3332" s="304"/>
      <c r="AC3332" s="304"/>
      <c r="AD3332" s="304"/>
      <c r="AE3332" s="304"/>
    </row>
    <row r="3333" spans="28:31" ht="12">
      <c r="AB3333" s="304"/>
      <c r="AC3333" s="304"/>
      <c r="AD3333" s="304"/>
      <c r="AE3333" s="304"/>
    </row>
    <row r="3334" spans="28:31" ht="12">
      <c r="AB3334" s="304"/>
      <c r="AC3334" s="304"/>
      <c r="AD3334" s="304"/>
      <c r="AE3334" s="304"/>
    </row>
    <row r="3335" spans="28:31" ht="12">
      <c r="AB3335" s="304"/>
      <c r="AC3335" s="304"/>
      <c r="AD3335" s="304"/>
      <c r="AE3335" s="304"/>
    </row>
    <row r="3336" spans="28:31" ht="12">
      <c r="AB3336" s="304"/>
      <c r="AC3336" s="304"/>
      <c r="AD3336" s="304"/>
      <c r="AE3336" s="304"/>
    </row>
    <row r="3337" spans="28:31" ht="12">
      <c r="AB3337" s="304"/>
      <c r="AC3337" s="304"/>
      <c r="AD3337" s="304"/>
      <c r="AE3337" s="304"/>
    </row>
    <row r="3338" spans="28:31" ht="12">
      <c r="AB3338" s="304"/>
      <c r="AC3338" s="304"/>
      <c r="AD3338" s="304"/>
      <c r="AE3338" s="304"/>
    </row>
    <row r="3339" spans="28:31" ht="12">
      <c r="AB3339" s="304"/>
      <c r="AC3339" s="304"/>
      <c r="AD3339" s="304"/>
      <c r="AE3339" s="304"/>
    </row>
    <row r="3340" spans="28:31" ht="12">
      <c r="AB3340" s="304"/>
      <c r="AC3340" s="304"/>
      <c r="AD3340" s="304"/>
      <c r="AE3340" s="304"/>
    </row>
    <row r="3341" spans="28:31" ht="12">
      <c r="AB3341" s="304"/>
      <c r="AC3341" s="304"/>
      <c r="AD3341" s="304"/>
      <c r="AE3341" s="304"/>
    </row>
    <row r="3342" spans="28:31" ht="12">
      <c r="AB3342" s="304"/>
      <c r="AC3342" s="304"/>
      <c r="AD3342" s="304"/>
      <c r="AE3342" s="304"/>
    </row>
    <row r="3343" spans="28:31" ht="12">
      <c r="AB3343" s="304"/>
      <c r="AC3343" s="304"/>
      <c r="AD3343" s="304"/>
      <c r="AE3343" s="304"/>
    </row>
    <row r="3344" spans="28:31" ht="12">
      <c r="AB3344" s="304"/>
      <c r="AC3344" s="304"/>
      <c r="AD3344" s="304"/>
      <c r="AE3344" s="304"/>
    </row>
    <row r="3345" spans="28:31" ht="12">
      <c r="AB3345" s="304"/>
      <c r="AC3345" s="304"/>
      <c r="AD3345" s="304"/>
      <c r="AE3345" s="304"/>
    </row>
    <row r="3346" spans="28:31" ht="12">
      <c r="AB3346" s="304"/>
      <c r="AC3346" s="304"/>
      <c r="AD3346" s="304"/>
      <c r="AE3346" s="304"/>
    </row>
    <row r="3347" spans="28:31" ht="12">
      <c r="AB3347" s="304"/>
      <c r="AC3347" s="304"/>
      <c r="AD3347" s="304"/>
      <c r="AE3347" s="304"/>
    </row>
    <row r="3348" spans="28:31" ht="12">
      <c r="AB3348" s="304"/>
      <c r="AC3348" s="304"/>
      <c r="AD3348" s="304"/>
      <c r="AE3348" s="304"/>
    </row>
    <row r="3349" spans="28:31" ht="12">
      <c r="AB3349" s="304"/>
      <c r="AC3349" s="304"/>
      <c r="AD3349" s="304"/>
      <c r="AE3349" s="304"/>
    </row>
    <row r="3350" spans="28:31" ht="12">
      <c r="AB3350" s="304"/>
      <c r="AC3350" s="304"/>
      <c r="AD3350" s="304"/>
      <c r="AE3350" s="304"/>
    </row>
    <row r="3351" spans="28:31" ht="12">
      <c r="AB3351" s="304"/>
      <c r="AC3351" s="304"/>
      <c r="AD3351" s="304"/>
      <c r="AE3351" s="304"/>
    </row>
    <row r="3352" spans="28:31" ht="12">
      <c r="AB3352" s="304"/>
      <c r="AC3352" s="304"/>
      <c r="AD3352" s="304"/>
      <c r="AE3352" s="304"/>
    </row>
    <row r="3353" spans="28:31" ht="12">
      <c r="AB3353" s="304"/>
      <c r="AC3353" s="304"/>
      <c r="AD3353" s="304"/>
      <c r="AE3353" s="304"/>
    </row>
    <row r="3354" spans="28:31" ht="12">
      <c r="AB3354" s="304"/>
      <c r="AC3354" s="304"/>
      <c r="AD3354" s="304"/>
      <c r="AE3354" s="304"/>
    </row>
    <row r="3355" spans="28:31" ht="12">
      <c r="AB3355" s="304"/>
      <c r="AC3355" s="304"/>
      <c r="AD3355" s="304"/>
      <c r="AE3355" s="304"/>
    </row>
    <row r="3356" spans="28:31" ht="12">
      <c r="AB3356" s="304"/>
      <c r="AC3356" s="304"/>
      <c r="AD3356" s="304"/>
      <c r="AE3356" s="304"/>
    </row>
    <row r="3357" spans="28:31" ht="12">
      <c r="AB3357" s="304"/>
      <c r="AC3357" s="304"/>
      <c r="AD3357" s="304"/>
      <c r="AE3357" s="304"/>
    </row>
    <row r="3358" spans="28:31" ht="12">
      <c r="AB3358" s="304"/>
      <c r="AC3358" s="304"/>
      <c r="AD3358" s="304"/>
      <c r="AE3358" s="304"/>
    </row>
    <row r="3359" spans="28:31" ht="12">
      <c r="AB3359" s="304"/>
      <c r="AC3359" s="304"/>
      <c r="AD3359" s="304"/>
      <c r="AE3359" s="304"/>
    </row>
    <row r="3360" spans="28:31" ht="12">
      <c r="AB3360" s="304"/>
      <c r="AC3360" s="304"/>
      <c r="AD3360" s="304"/>
      <c r="AE3360" s="304"/>
    </row>
    <row r="3361" spans="28:31" ht="12">
      <c r="AB3361" s="304"/>
      <c r="AC3361" s="304"/>
      <c r="AD3361" s="304"/>
      <c r="AE3361" s="304"/>
    </row>
    <row r="3362" spans="28:31" ht="12">
      <c r="AB3362" s="304"/>
      <c r="AC3362" s="304"/>
      <c r="AD3362" s="304"/>
      <c r="AE3362" s="304"/>
    </row>
    <row r="3363" spans="28:31" ht="12">
      <c r="AB3363" s="304"/>
      <c r="AC3363" s="304"/>
      <c r="AD3363" s="304"/>
      <c r="AE3363" s="304"/>
    </row>
    <row r="3364" spans="28:31" ht="12">
      <c r="AB3364" s="304"/>
      <c r="AC3364" s="304"/>
      <c r="AD3364" s="304"/>
      <c r="AE3364" s="304"/>
    </row>
    <row r="3365" spans="28:31" ht="12">
      <c r="AB3365" s="304"/>
      <c r="AC3365" s="304"/>
      <c r="AD3365" s="304"/>
      <c r="AE3365" s="304"/>
    </row>
    <row r="3366" spans="28:31" ht="12">
      <c r="AB3366" s="304"/>
      <c r="AC3366" s="304"/>
      <c r="AD3366" s="304"/>
      <c r="AE3366" s="304"/>
    </row>
    <row r="3367" spans="28:31" ht="12">
      <c r="AB3367" s="304"/>
      <c r="AC3367" s="304"/>
      <c r="AD3367" s="304"/>
      <c r="AE3367" s="304"/>
    </row>
    <row r="3368" spans="28:31" ht="12">
      <c r="AB3368" s="304"/>
      <c r="AC3368" s="304"/>
      <c r="AD3368" s="304"/>
      <c r="AE3368" s="304"/>
    </row>
    <row r="3369" spans="28:31" ht="12">
      <c r="AB3369" s="304"/>
      <c r="AC3369" s="304"/>
      <c r="AD3369" s="304"/>
      <c r="AE3369" s="304"/>
    </row>
    <row r="3370" spans="28:31" ht="12">
      <c r="AB3370" s="304"/>
      <c r="AC3370" s="304"/>
      <c r="AD3370" s="304"/>
      <c r="AE3370" s="304"/>
    </row>
    <row r="3371" spans="28:31" ht="12">
      <c r="AB3371" s="304"/>
      <c r="AC3371" s="304"/>
      <c r="AD3371" s="304"/>
      <c r="AE3371" s="304"/>
    </row>
    <row r="3372" spans="28:31" ht="12">
      <c r="AB3372" s="304"/>
      <c r="AC3372" s="304"/>
      <c r="AD3372" s="304"/>
      <c r="AE3372" s="304"/>
    </row>
    <row r="3373" spans="28:31" ht="12">
      <c r="AB3373" s="304"/>
      <c r="AC3373" s="304"/>
      <c r="AD3373" s="304"/>
      <c r="AE3373" s="304"/>
    </row>
    <row r="3374" spans="28:31" ht="12">
      <c r="AB3374" s="304"/>
      <c r="AC3374" s="304"/>
      <c r="AD3374" s="304"/>
      <c r="AE3374" s="304"/>
    </row>
    <row r="3375" spans="28:31" ht="12">
      <c r="AB3375" s="304"/>
      <c r="AC3375" s="304"/>
      <c r="AD3375" s="304"/>
      <c r="AE3375" s="304"/>
    </row>
    <row r="3376" spans="28:31" ht="12">
      <c r="AB3376" s="304"/>
      <c r="AC3376" s="304"/>
      <c r="AD3376" s="304"/>
      <c r="AE3376" s="304"/>
    </row>
    <row r="3377" spans="28:31" ht="12">
      <c r="AB3377" s="304"/>
      <c r="AC3377" s="304"/>
      <c r="AD3377" s="304"/>
      <c r="AE3377" s="304"/>
    </row>
    <row r="3378" spans="28:31" ht="12">
      <c r="AB3378" s="304"/>
      <c r="AC3378" s="304"/>
      <c r="AD3378" s="304"/>
      <c r="AE3378" s="304"/>
    </row>
    <row r="3379" spans="28:31" ht="12">
      <c r="AB3379" s="304"/>
      <c r="AC3379" s="304"/>
      <c r="AD3379" s="304"/>
      <c r="AE3379" s="304"/>
    </row>
    <row r="3380" spans="28:31" ht="12">
      <c r="AB3380" s="304"/>
      <c r="AC3380" s="304"/>
      <c r="AD3380" s="304"/>
      <c r="AE3380" s="304"/>
    </row>
    <row r="3381" spans="28:31" ht="12">
      <c r="AB3381" s="304"/>
      <c r="AC3381" s="304"/>
      <c r="AD3381" s="304"/>
      <c r="AE3381" s="304"/>
    </row>
    <row r="3382" spans="28:31" ht="12">
      <c r="AB3382" s="304"/>
      <c r="AC3382" s="304"/>
      <c r="AD3382" s="304"/>
      <c r="AE3382" s="304"/>
    </row>
    <row r="3383" spans="28:31" ht="12">
      <c r="AB3383" s="304"/>
      <c r="AC3383" s="304"/>
      <c r="AD3383" s="304"/>
      <c r="AE3383" s="304"/>
    </row>
    <row r="3384" spans="28:31" ht="12">
      <c r="AB3384" s="304"/>
      <c r="AC3384" s="304"/>
      <c r="AD3384" s="304"/>
      <c r="AE3384" s="304"/>
    </row>
    <row r="3385" spans="28:31" ht="12">
      <c r="AB3385" s="304"/>
      <c r="AC3385" s="304"/>
      <c r="AD3385" s="304"/>
      <c r="AE3385" s="304"/>
    </row>
    <row r="3386" spans="28:31" ht="12">
      <c r="AB3386" s="304"/>
      <c r="AC3386" s="304"/>
      <c r="AD3386" s="304"/>
      <c r="AE3386" s="304"/>
    </row>
    <row r="3387" spans="28:31" ht="12">
      <c r="AB3387" s="304"/>
      <c r="AC3387" s="304"/>
      <c r="AD3387" s="304"/>
      <c r="AE3387" s="304"/>
    </row>
    <row r="3388" spans="28:31" ht="12">
      <c r="AB3388" s="304"/>
      <c r="AC3388" s="304"/>
      <c r="AD3388" s="304"/>
      <c r="AE3388" s="304"/>
    </row>
    <row r="3389" spans="28:31" ht="12">
      <c r="AB3389" s="304"/>
      <c r="AC3389" s="304"/>
      <c r="AD3389" s="304"/>
      <c r="AE3389" s="304"/>
    </row>
    <row r="3390" spans="28:31" ht="12">
      <c r="AB3390" s="304"/>
      <c r="AC3390" s="304"/>
      <c r="AD3390" s="304"/>
      <c r="AE3390" s="304"/>
    </row>
    <row r="3391" spans="28:31" ht="12">
      <c r="AB3391" s="304"/>
      <c r="AC3391" s="304"/>
      <c r="AD3391" s="304"/>
      <c r="AE3391" s="304"/>
    </row>
    <row r="3392" spans="28:31" ht="12">
      <c r="AB3392" s="304"/>
      <c r="AC3392" s="304"/>
      <c r="AD3392" s="304"/>
      <c r="AE3392" s="304"/>
    </row>
    <row r="3393" spans="28:31" ht="12">
      <c r="AB3393" s="304"/>
      <c r="AC3393" s="304"/>
      <c r="AD3393" s="304"/>
      <c r="AE3393" s="304"/>
    </row>
    <row r="3394" spans="28:31" ht="12">
      <c r="AB3394" s="304"/>
      <c r="AC3394" s="304"/>
      <c r="AD3394" s="304"/>
      <c r="AE3394" s="304"/>
    </row>
    <row r="3395" spans="28:31" ht="12">
      <c r="AB3395" s="304"/>
      <c r="AC3395" s="304"/>
      <c r="AD3395" s="304"/>
      <c r="AE3395" s="304"/>
    </row>
    <row r="3396" spans="28:31" ht="12">
      <c r="AB3396" s="304"/>
      <c r="AC3396" s="304"/>
      <c r="AD3396" s="304"/>
      <c r="AE3396" s="304"/>
    </row>
    <row r="3397" spans="28:31" ht="12">
      <c r="AB3397" s="304"/>
      <c r="AC3397" s="304"/>
      <c r="AD3397" s="304"/>
      <c r="AE3397" s="304"/>
    </row>
    <row r="3398" spans="28:31" ht="12">
      <c r="AB3398" s="304"/>
      <c r="AC3398" s="304"/>
      <c r="AD3398" s="304"/>
      <c r="AE3398" s="304"/>
    </row>
    <row r="3399" spans="28:31" ht="12">
      <c r="AB3399" s="304"/>
      <c r="AC3399" s="304"/>
      <c r="AD3399" s="304"/>
      <c r="AE3399" s="304"/>
    </row>
    <row r="3400" spans="28:31" ht="12">
      <c r="AB3400" s="304"/>
      <c r="AC3400" s="304"/>
      <c r="AD3400" s="304"/>
      <c r="AE3400" s="304"/>
    </row>
    <row r="3401" spans="28:31" ht="12">
      <c r="AB3401" s="304"/>
      <c r="AC3401" s="304"/>
      <c r="AD3401" s="304"/>
      <c r="AE3401" s="304"/>
    </row>
    <row r="3402" spans="28:31" ht="12">
      <c r="AB3402" s="304"/>
      <c r="AC3402" s="304"/>
      <c r="AD3402" s="304"/>
      <c r="AE3402" s="304"/>
    </row>
    <row r="3403" spans="28:31" ht="12">
      <c r="AB3403" s="304"/>
      <c r="AC3403" s="304"/>
      <c r="AD3403" s="304"/>
      <c r="AE3403" s="304"/>
    </row>
    <row r="3404" spans="28:31" ht="12">
      <c r="AB3404" s="304"/>
      <c r="AC3404" s="304"/>
      <c r="AD3404" s="304"/>
      <c r="AE3404" s="304"/>
    </row>
    <row r="3405" spans="28:31" ht="12">
      <c r="AB3405" s="304"/>
      <c r="AC3405" s="304"/>
      <c r="AD3405" s="304"/>
      <c r="AE3405" s="304"/>
    </row>
    <row r="3406" spans="28:31" ht="12">
      <c r="AB3406" s="304"/>
      <c r="AC3406" s="304"/>
      <c r="AD3406" s="304"/>
      <c r="AE3406" s="304"/>
    </row>
    <row r="3407" spans="28:31" ht="12">
      <c r="AB3407" s="304"/>
      <c r="AC3407" s="304"/>
      <c r="AD3407" s="304"/>
      <c r="AE3407" s="304"/>
    </row>
    <row r="3408" spans="28:31" ht="12">
      <c r="AB3408" s="304"/>
      <c r="AC3408" s="304"/>
      <c r="AD3408" s="304"/>
      <c r="AE3408" s="304"/>
    </row>
    <row r="3409" spans="28:31" ht="12">
      <c r="AB3409" s="304"/>
      <c r="AC3409" s="304"/>
      <c r="AD3409" s="304"/>
      <c r="AE3409" s="304"/>
    </row>
    <row r="3410" spans="28:31" ht="12">
      <c r="AB3410" s="304"/>
      <c r="AC3410" s="304"/>
      <c r="AD3410" s="304"/>
      <c r="AE3410" s="304"/>
    </row>
    <row r="3411" spans="28:31" ht="12">
      <c r="AB3411" s="304"/>
      <c r="AC3411" s="304"/>
      <c r="AD3411" s="304"/>
      <c r="AE3411" s="304"/>
    </row>
    <row r="3412" spans="28:31" ht="12">
      <c r="AB3412" s="304"/>
      <c r="AC3412" s="304"/>
      <c r="AD3412" s="304"/>
      <c r="AE3412" s="304"/>
    </row>
    <row r="3413" spans="28:31" ht="12">
      <c r="AB3413" s="304"/>
      <c r="AC3413" s="304"/>
      <c r="AD3413" s="304"/>
      <c r="AE3413" s="304"/>
    </row>
    <row r="3414" spans="28:31" ht="12">
      <c r="AB3414" s="304"/>
      <c r="AC3414" s="304"/>
      <c r="AD3414" s="304"/>
      <c r="AE3414" s="304"/>
    </row>
    <row r="3415" spans="28:31" ht="12">
      <c r="AB3415" s="304"/>
      <c r="AC3415" s="304"/>
      <c r="AD3415" s="304"/>
      <c r="AE3415" s="304"/>
    </row>
    <row r="3416" spans="28:31" ht="12">
      <c r="AB3416" s="304"/>
      <c r="AC3416" s="304"/>
      <c r="AD3416" s="304"/>
      <c r="AE3416" s="304"/>
    </row>
    <row r="3417" spans="28:31" ht="12">
      <c r="AB3417" s="304"/>
      <c r="AC3417" s="304"/>
      <c r="AD3417" s="304"/>
      <c r="AE3417" s="304"/>
    </row>
    <row r="3418" spans="28:31" ht="12">
      <c r="AB3418" s="304"/>
      <c r="AC3418" s="304"/>
      <c r="AD3418" s="304"/>
      <c r="AE3418" s="304"/>
    </row>
    <row r="3419" spans="28:31" ht="12">
      <c r="AB3419" s="304"/>
      <c r="AC3419" s="304"/>
      <c r="AD3419" s="304"/>
      <c r="AE3419" s="304"/>
    </row>
    <row r="3420" spans="28:31" ht="12">
      <c r="AB3420" s="304"/>
      <c r="AC3420" s="304"/>
      <c r="AD3420" s="304"/>
      <c r="AE3420" s="304"/>
    </row>
    <row r="3421" spans="28:31" ht="12">
      <c r="AB3421" s="304"/>
      <c r="AC3421" s="304"/>
      <c r="AD3421" s="304"/>
      <c r="AE3421" s="304"/>
    </row>
    <row r="3422" spans="28:31" ht="12">
      <c r="AB3422" s="304"/>
      <c r="AC3422" s="304"/>
      <c r="AD3422" s="304"/>
      <c r="AE3422" s="304"/>
    </row>
    <row r="3423" spans="28:31" ht="12">
      <c r="AB3423" s="304"/>
      <c r="AC3423" s="304"/>
      <c r="AD3423" s="304"/>
      <c r="AE3423" s="304"/>
    </row>
    <row r="3424" spans="28:31" ht="12">
      <c r="AB3424" s="304"/>
      <c r="AC3424" s="304"/>
      <c r="AD3424" s="304"/>
      <c r="AE3424" s="304"/>
    </row>
    <row r="3425" spans="28:31" ht="12">
      <c r="AB3425" s="304"/>
      <c r="AC3425" s="304"/>
      <c r="AD3425" s="304"/>
      <c r="AE3425" s="304"/>
    </row>
    <row r="3426" spans="28:31" ht="12">
      <c r="AB3426" s="304"/>
      <c r="AC3426" s="304"/>
      <c r="AD3426" s="304"/>
      <c r="AE3426" s="304"/>
    </row>
    <row r="3427" spans="28:31" ht="12">
      <c r="AB3427" s="304"/>
      <c r="AC3427" s="304"/>
      <c r="AD3427" s="304"/>
      <c r="AE3427" s="304"/>
    </row>
    <row r="3428" spans="28:31" ht="12">
      <c r="AB3428" s="304"/>
      <c r="AC3428" s="304"/>
      <c r="AD3428" s="304"/>
      <c r="AE3428" s="304"/>
    </row>
    <row r="3429" spans="28:31" ht="12">
      <c r="AB3429" s="304"/>
      <c r="AC3429" s="304"/>
      <c r="AD3429" s="304"/>
      <c r="AE3429" s="304"/>
    </row>
    <row r="3430" spans="28:31" ht="12">
      <c r="AB3430" s="304"/>
      <c r="AC3430" s="304"/>
      <c r="AD3430" s="304"/>
      <c r="AE3430" s="304"/>
    </row>
    <row r="3431" spans="28:31" ht="12">
      <c r="AB3431" s="304"/>
      <c r="AC3431" s="304"/>
      <c r="AD3431" s="304"/>
      <c r="AE3431" s="304"/>
    </row>
    <row r="3432" spans="28:31" ht="12">
      <c r="AB3432" s="304"/>
      <c r="AC3432" s="304"/>
      <c r="AD3432" s="304"/>
      <c r="AE3432" s="304"/>
    </row>
    <row r="3433" spans="28:31" ht="12">
      <c r="AB3433" s="304"/>
      <c r="AC3433" s="304"/>
      <c r="AD3433" s="304"/>
      <c r="AE3433" s="304"/>
    </row>
    <row r="3434" spans="28:31" ht="12">
      <c r="AB3434" s="304"/>
      <c r="AC3434" s="304"/>
      <c r="AD3434" s="304"/>
      <c r="AE3434" s="304"/>
    </row>
    <row r="3435" spans="28:31" ht="12">
      <c r="AB3435" s="304"/>
      <c r="AC3435" s="304"/>
      <c r="AD3435" s="304"/>
      <c r="AE3435" s="304"/>
    </row>
    <row r="3436" spans="28:31" ht="12">
      <c r="AB3436" s="304"/>
      <c r="AC3436" s="304"/>
      <c r="AD3436" s="304"/>
      <c r="AE3436" s="304"/>
    </row>
    <row r="3437" spans="28:31" ht="12">
      <c r="AB3437" s="304"/>
      <c r="AC3437" s="304"/>
      <c r="AD3437" s="304"/>
      <c r="AE3437" s="304"/>
    </row>
    <row r="3438" spans="28:31" ht="12">
      <c r="AB3438" s="304"/>
      <c r="AC3438" s="304"/>
      <c r="AD3438" s="304"/>
      <c r="AE3438" s="304"/>
    </row>
    <row r="3439" spans="28:31" ht="12">
      <c r="AB3439" s="304"/>
      <c r="AC3439" s="304"/>
      <c r="AD3439" s="304"/>
      <c r="AE3439" s="304"/>
    </row>
    <row r="3440" spans="28:31" ht="12">
      <c r="AB3440" s="304"/>
      <c r="AC3440" s="304"/>
      <c r="AD3440" s="304"/>
      <c r="AE3440" s="304"/>
    </row>
    <row r="3441" spans="28:31" ht="12">
      <c r="AB3441" s="304"/>
      <c r="AC3441" s="304"/>
      <c r="AD3441" s="304"/>
      <c r="AE3441" s="304"/>
    </row>
    <row r="3442" spans="28:31" ht="12">
      <c r="AB3442" s="304"/>
      <c r="AC3442" s="304"/>
      <c r="AD3442" s="304"/>
      <c r="AE3442" s="304"/>
    </row>
    <row r="3443" spans="28:31" ht="12">
      <c r="AB3443" s="304"/>
      <c r="AC3443" s="304"/>
      <c r="AD3443" s="304"/>
      <c r="AE3443" s="304"/>
    </row>
    <row r="3444" spans="28:31" ht="12">
      <c r="AB3444" s="304"/>
      <c r="AC3444" s="304"/>
      <c r="AD3444" s="304"/>
      <c r="AE3444" s="304"/>
    </row>
    <row r="3445" spans="28:31" ht="12">
      <c r="AB3445" s="304"/>
      <c r="AC3445" s="304"/>
      <c r="AD3445" s="304"/>
      <c r="AE3445" s="304"/>
    </row>
    <row r="3446" spans="28:31" ht="12">
      <c r="AB3446" s="304"/>
      <c r="AC3446" s="304"/>
      <c r="AD3446" s="304"/>
      <c r="AE3446" s="304"/>
    </row>
    <row r="3447" spans="28:31" ht="12">
      <c r="AB3447" s="304"/>
      <c r="AC3447" s="304"/>
      <c r="AD3447" s="304"/>
      <c r="AE3447" s="304"/>
    </row>
    <row r="3448" spans="28:31" ht="12">
      <c r="AB3448" s="304"/>
      <c r="AC3448" s="304"/>
      <c r="AD3448" s="304"/>
      <c r="AE3448" s="304"/>
    </row>
    <row r="3449" spans="28:31" ht="12">
      <c r="AB3449" s="304"/>
      <c r="AC3449" s="304"/>
      <c r="AD3449" s="304"/>
      <c r="AE3449" s="304"/>
    </row>
    <row r="3450" spans="28:31" ht="12">
      <c r="AB3450" s="304"/>
      <c r="AC3450" s="304"/>
      <c r="AD3450" s="304"/>
      <c r="AE3450" s="304"/>
    </row>
    <row r="3451" spans="28:31" ht="12">
      <c r="AB3451" s="304"/>
      <c r="AC3451" s="304"/>
      <c r="AD3451" s="304"/>
      <c r="AE3451" s="304"/>
    </row>
    <row r="3452" spans="28:31" ht="12">
      <c r="AB3452" s="304"/>
      <c r="AC3452" s="304"/>
      <c r="AD3452" s="304"/>
      <c r="AE3452" s="304"/>
    </row>
    <row r="3453" spans="28:31" ht="12">
      <c r="AB3453" s="304"/>
      <c r="AC3453" s="304"/>
      <c r="AD3453" s="304"/>
      <c r="AE3453" s="304"/>
    </row>
    <row r="3454" spans="28:31" ht="12">
      <c r="AB3454" s="304"/>
      <c r="AC3454" s="304"/>
      <c r="AD3454" s="304"/>
      <c r="AE3454" s="304"/>
    </row>
    <row r="3455" spans="28:31" ht="12">
      <c r="AB3455" s="304"/>
      <c r="AC3455" s="304"/>
      <c r="AD3455" s="304"/>
      <c r="AE3455" s="304"/>
    </row>
    <row r="3456" spans="28:31" ht="12">
      <c r="AB3456" s="304"/>
      <c r="AC3456" s="304"/>
      <c r="AD3456" s="304"/>
      <c r="AE3456" s="304"/>
    </row>
    <row r="3457" spans="28:31" ht="12">
      <c r="AB3457" s="304"/>
      <c r="AC3457" s="304"/>
      <c r="AD3457" s="304"/>
      <c r="AE3457" s="304"/>
    </row>
    <row r="3458" spans="28:31" ht="12">
      <c r="AB3458" s="304"/>
      <c r="AC3458" s="304"/>
      <c r="AD3458" s="304"/>
      <c r="AE3458" s="304"/>
    </row>
    <row r="3459" spans="28:31" ht="12">
      <c r="AB3459" s="304"/>
      <c r="AC3459" s="304"/>
      <c r="AD3459" s="304"/>
      <c r="AE3459" s="304"/>
    </row>
    <row r="3460" spans="28:31" ht="12">
      <c r="AB3460" s="304"/>
      <c r="AC3460" s="304"/>
      <c r="AD3460" s="304"/>
      <c r="AE3460" s="304"/>
    </row>
    <row r="3461" spans="28:31" ht="12">
      <c r="AB3461" s="304"/>
      <c r="AC3461" s="304"/>
      <c r="AD3461" s="304"/>
      <c r="AE3461" s="304"/>
    </row>
    <row r="3462" spans="28:31" ht="12">
      <c r="AB3462" s="304"/>
      <c r="AC3462" s="304"/>
      <c r="AD3462" s="304"/>
      <c r="AE3462" s="304"/>
    </row>
    <row r="3463" spans="28:31" ht="12">
      <c r="AB3463" s="304"/>
      <c r="AC3463" s="304"/>
      <c r="AD3463" s="304"/>
      <c r="AE3463" s="304"/>
    </row>
    <row r="3464" spans="28:31" ht="12">
      <c r="AB3464" s="304"/>
      <c r="AC3464" s="304"/>
      <c r="AD3464" s="304"/>
      <c r="AE3464" s="304"/>
    </row>
    <row r="3465" spans="28:31" ht="12">
      <c r="AB3465" s="304"/>
      <c r="AC3465" s="304"/>
      <c r="AD3465" s="304"/>
      <c r="AE3465" s="304"/>
    </row>
    <row r="3466" spans="28:31" ht="12">
      <c r="AB3466" s="304"/>
      <c r="AC3466" s="304"/>
      <c r="AD3466" s="304"/>
      <c r="AE3466" s="304"/>
    </row>
    <row r="3467" spans="28:31" ht="12">
      <c r="AB3467" s="304"/>
      <c r="AC3467" s="304"/>
      <c r="AD3467" s="304"/>
      <c r="AE3467" s="304"/>
    </row>
    <row r="3468" spans="28:31" ht="12">
      <c r="AB3468" s="304"/>
      <c r="AC3468" s="304"/>
      <c r="AD3468" s="304"/>
      <c r="AE3468" s="304"/>
    </row>
    <row r="3469" spans="28:31" ht="12">
      <c r="AB3469" s="304"/>
      <c r="AC3469" s="304"/>
      <c r="AD3469" s="304"/>
      <c r="AE3469" s="304"/>
    </row>
    <row r="3470" spans="28:31" ht="12">
      <c r="AB3470" s="304"/>
      <c r="AC3470" s="304"/>
      <c r="AD3470" s="304"/>
      <c r="AE3470" s="304"/>
    </row>
    <row r="3471" spans="28:31" ht="12">
      <c r="AB3471" s="304"/>
      <c r="AC3471" s="304"/>
      <c r="AD3471" s="304"/>
      <c r="AE3471" s="304"/>
    </row>
    <row r="3472" spans="28:31" ht="12">
      <c r="AB3472" s="304"/>
      <c r="AC3472" s="304"/>
      <c r="AD3472" s="304"/>
      <c r="AE3472" s="304"/>
    </row>
    <row r="3473" spans="28:31" ht="12">
      <c r="AB3473" s="304"/>
      <c r="AC3473" s="304"/>
      <c r="AD3473" s="304"/>
      <c r="AE3473" s="304"/>
    </row>
    <row r="3474" spans="28:31" ht="12">
      <c r="AB3474" s="304"/>
      <c r="AC3474" s="304"/>
      <c r="AD3474" s="304"/>
      <c r="AE3474" s="304"/>
    </row>
    <row r="3475" spans="28:31" ht="12">
      <c r="AB3475" s="304"/>
      <c r="AC3475" s="304"/>
      <c r="AD3475" s="304"/>
      <c r="AE3475" s="304"/>
    </row>
    <row r="3476" spans="28:31" ht="12">
      <c r="AB3476" s="304"/>
      <c r="AC3476" s="304"/>
      <c r="AD3476" s="304"/>
      <c r="AE3476" s="304"/>
    </row>
    <row r="3477" spans="28:31" ht="12">
      <c r="AB3477" s="304"/>
      <c r="AC3477" s="304"/>
      <c r="AD3477" s="304"/>
      <c r="AE3477" s="304"/>
    </row>
    <row r="3478" spans="28:31" ht="12">
      <c r="AB3478" s="304"/>
      <c r="AC3478" s="304"/>
      <c r="AD3478" s="304"/>
      <c r="AE3478" s="304"/>
    </row>
    <row r="3479" spans="28:31" ht="12">
      <c r="AB3479" s="304"/>
      <c r="AC3479" s="304"/>
      <c r="AD3479" s="304"/>
      <c r="AE3479" s="304"/>
    </row>
    <row r="3480" spans="28:31" ht="12">
      <c r="AB3480" s="304"/>
      <c r="AC3480" s="304"/>
      <c r="AD3480" s="304"/>
      <c r="AE3480" s="304"/>
    </row>
    <row r="3481" spans="28:31" ht="12">
      <c r="AB3481" s="304"/>
      <c r="AC3481" s="304"/>
      <c r="AD3481" s="304"/>
      <c r="AE3481" s="304"/>
    </row>
    <row r="3482" spans="28:31" ht="12">
      <c r="AB3482" s="304"/>
      <c r="AC3482" s="304"/>
      <c r="AD3482" s="304"/>
      <c r="AE3482" s="304"/>
    </row>
    <row r="3483" spans="28:31" ht="12">
      <c r="AB3483" s="304"/>
      <c r="AC3483" s="304"/>
      <c r="AD3483" s="304"/>
      <c r="AE3483" s="304"/>
    </row>
    <row r="3484" spans="28:31" ht="12">
      <c r="AB3484" s="304"/>
      <c r="AC3484" s="304"/>
      <c r="AD3484" s="304"/>
      <c r="AE3484" s="304"/>
    </row>
    <row r="3485" spans="28:31" ht="12">
      <c r="AB3485" s="304"/>
      <c r="AC3485" s="304"/>
      <c r="AD3485" s="304"/>
      <c r="AE3485" s="304"/>
    </row>
    <row r="3486" spans="28:31" ht="12">
      <c r="AB3486" s="304"/>
      <c r="AC3486" s="304"/>
      <c r="AD3486" s="304"/>
      <c r="AE3486" s="304"/>
    </row>
    <row r="3487" spans="28:31" ht="12">
      <c r="AB3487" s="304"/>
      <c r="AC3487" s="304"/>
      <c r="AD3487" s="304"/>
      <c r="AE3487" s="304"/>
    </row>
    <row r="3488" spans="28:31" ht="12">
      <c r="AB3488" s="304"/>
      <c r="AC3488" s="304"/>
      <c r="AD3488" s="304"/>
      <c r="AE3488" s="304"/>
    </row>
    <row r="3489" spans="28:31" ht="12">
      <c r="AB3489" s="304"/>
      <c r="AC3489" s="304"/>
      <c r="AD3489" s="304"/>
      <c r="AE3489" s="304"/>
    </row>
    <row r="3490" spans="28:31" ht="12">
      <c r="AB3490" s="304"/>
      <c r="AC3490" s="304"/>
      <c r="AD3490" s="304"/>
      <c r="AE3490" s="304"/>
    </row>
    <row r="3491" spans="28:31" ht="12">
      <c r="AB3491" s="304"/>
      <c r="AC3491" s="304"/>
      <c r="AD3491" s="304"/>
      <c r="AE3491" s="304"/>
    </row>
    <row r="3492" spans="28:31" ht="12">
      <c r="AB3492" s="304"/>
      <c r="AC3492" s="304"/>
      <c r="AD3492" s="304"/>
      <c r="AE3492" s="304"/>
    </row>
    <row r="3493" spans="28:31" ht="12">
      <c r="AB3493" s="304"/>
      <c r="AC3493" s="304"/>
      <c r="AD3493" s="304"/>
      <c r="AE3493" s="304"/>
    </row>
    <row r="3494" spans="28:31" ht="12">
      <c r="AB3494" s="304"/>
      <c r="AC3494" s="304"/>
      <c r="AD3494" s="304"/>
      <c r="AE3494" s="304"/>
    </row>
    <row r="3495" spans="28:31" ht="12">
      <c r="AB3495" s="304"/>
      <c r="AC3495" s="304"/>
      <c r="AD3495" s="304"/>
      <c r="AE3495" s="304"/>
    </row>
    <row r="3496" spans="28:31" ht="12">
      <c r="AB3496" s="304"/>
      <c r="AC3496" s="304"/>
      <c r="AD3496" s="304"/>
      <c r="AE3496" s="304"/>
    </row>
    <row r="3497" spans="28:31" ht="12">
      <c r="AB3497" s="304"/>
      <c r="AC3497" s="304"/>
      <c r="AD3497" s="304"/>
      <c r="AE3497" s="304"/>
    </row>
    <row r="3498" spans="28:31" ht="12">
      <c r="AB3498" s="304"/>
      <c r="AC3498" s="304"/>
      <c r="AD3498" s="304"/>
      <c r="AE3498" s="304"/>
    </row>
    <row r="3499" spans="28:31" ht="12">
      <c r="AB3499" s="304"/>
      <c r="AC3499" s="304"/>
      <c r="AD3499" s="304"/>
      <c r="AE3499" s="304"/>
    </row>
    <row r="3500" spans="28:31" ht="12">
      <c r="AB3500" s="304"/>
      <c r="AC3500" s="304"/>
      <c r="AD3500" s="304"/>
      <c r="AE3500" s="304"/>
    </row>
    <row r="3501" spans="28:31" ht="12">
      <c r="AB3501" s="304"/>
      <c r="AC3501" s="304"/>
      <c r="AD3501" s="304"/>
      <c r="AE3501" s="304"/>
    </row>
    <row r="3502" spans="28:31" ht="12">
      <c r="AB3502" s="304"/>
      <c r="AC3502" s="304"/>
      <c r="AD3502" s="304"/>
      <c r="AE3502" s="304"/>
    </row>
    <row r="3503" spans="28:31" ht="12">
      <c r="AB3503" s="304"/>
      <c r="AC3503" s="304"/>
      <c r="AD3503" s="304"/>
      <c r="AE3503" s="304"/>
    </row>
    <row r="3504" spans="28:31" ht="12">
      <c r="AB3504" s="304"/>
      <c r="AC3504" s="304"/>
      <c r="AD3504" s="304"/>
      <c r="AE3504" s="304"/>
    </row>
    <row r="3505" spans="28:31" ht="12">
      <c r="AB3505" s="304"/>
      <c r="AC3505" s="304"/>
      <c r="AD3505" s="304"/>
      <c r="AE3505" s="304"/>
    </row>
    <row r="3506" spans="28:31" ht="12">
      <c r="AB3506" s="304"/>
      <c r="AC3506" s="304"/>
      <c r="AD3506" s="304"/>
      <c r="AE3506" s="304"/>
    </row>
    <row r="3507" spans="28:31" ht="12">
      <c r="AB3507" s="304"/>
      <c r="AC3507" s="304"/>
      <c r="AD3507" s="304"/>
      <c r="AE3507" s="304"/>
    </row>
    <row r="3508" spans="28:31" ht="12">
      <c r="AB3508" s="304"/>
      <c r="AC3508" s="304"/>
      <c r="AD3508" s="304"/>
      <c r="AE3508" s="304"/>
    </row>
    <row r="3509" spans="28:31" ht="12">
      <c r="AB3509" s="304"/>
      <c r="AC3509" s="304"/>
      <c r="AD3509" s="304"/>
      <c r="AE3509" s="304"/>
    </row>
    <row r="3510" spans="28:31" ht="12">
      <c r="AB3510" s="304"/>
      <c r="AC3510" s="304"/>
      <c r="AD3510" s="304"/>
      <c r="AE3510" s="304"/>
    </row>
    <row r="3511" spans="28:31" ht="12">
      <c r="AB3511" s="304"/>
      <c r="AC3511" s="304"/>
      <c r="AD3511" s="304"/>
      <c r="AE3511" s="304"/>
    </row>
    <row r="3512" spans="28:31" ht="12">
      <c r="AB3512" s="304"/>
      <c r="AC3512" s="304"/>
      <c r="AD3512" s="304"/>
      <c r="AE3512" s="304"/>
    </row>
    <row r="3513" spans="28:31" ht="12">
      <c r="AB3513" s="304"/>
      <c r="AC3513" s="304"/>
      <c r="AD3513" s="304"/>
      <c r="AE3513" s="304"/>
    </row>
    <row r="3514" spans="28:31" ht="12">
      <c r="AB3514" s="304"/>
      <c r="AC3514" s="304"/>
      <c r="AD3514" s="304"/>
      <c r="AE3514" s="304"/>
    </row>
    <row r="3515" spans="28:31" ht="12">
      <c r="AB3515" s="304"/>
      <c r="AC3515" s="304"/>
      <c r="AD3515" s="304"/>
      <c r="AE3515" s="304"/>
    </row>
    <row r="3516" spans="28:31" ht="12">
      <c r="AB3516" s="304"/>
      <c r="AC3516" s="304"/>
      <c r="AD3516" s="304"/>
      <c r="AE3516" s="304"/>
    </row>
    <row r="3517" spans="28:31" ht="12">
      <c r="AB3517" s="304"/>
      <c r="AC3517" s="304"/>
      <c r="AD3517" s="304"/>
      <c r="AE3517" s="304"/>
    </row>
    <row r="3518" spans="28:31" ht="12">
      <c r="AB3518" s="304"/>
      <c r="AC3518" s="304"/>
      <c r="AD3518" s="304"/>
      <c r="AE3518" s="304"/>
    </row>
    <row r="3519" spans="28:31" ht="12">
      <c r="AB3519" s="304"/>
      <c r="AC3519" s="304"/>
      <c r="AD3519" s="304"/>
      <c r="AE3519" s="304"/>
    </row>
    <row r="3520" spans="28:31" ht="12">
      <c r="AB3520" s="304"/>
      <c r="AC3520" s="304"/>
      <c r="AD3520" s="304"/>
      <c r="AE3520" s="304"/>
    </row>
    <row r="3521" spans="28:31" ht="12">
      <c r="AB3521" s="304"/>
      <c r="AC3521" s="304"/>
      <c r="AD3521" s="304"/>
      <c r="AE3521" s="304"/>
    </row>
    <row r="3522" spans="28:31" ht="12">
      <c r="AB3522" s="304"/>
      <c r="AC3522" s="304"/>
      <c r="AD3522" s="304"/>
      <c r="AE3522" s="304"/>
    </row>
    <row r="3523" spans="28:31" ht="12">
      <c r="AB3523" s="304"/>
      <c r="AC3523" s="304"/>
      <c r="AD3523" s="304"/>
      <c r="AE3523" s="304"/>
    </row>
    <row r="3524" spans="28:31" ht="12">
      <c r="AB3524" s="304"/>
      <c r="AC3524" s="304"/>
      <c r="AD3524" s="304"/>
      <c r="AE3524" s="304"/>
    </row>
    <row r="3525" spans="28:31" ht="12">
      <c r="AB3525" s="304"/>
      <c r="AC3525" s="304"/>
      <c r="AD3525" s="304"/>
      <c r="AE3525" s="304"/>
    </row>
    <row r="3526" spans="28:31" ht="12">
      <c r="AB3526" s="304"/>
      <c r="AC3526" s="304"/>
      <c r="AD3526" s="304"/>
      <c r="AE3526" s="304"/>
    </row>
    <row r="3527" spans="28:31" ht="12">
      <c r="AB3527" s="304"/>
      <c r="AC3527" s="304"/>
      <c r="AD3527" s="304"/>
      <c r="AE3527" s="304"/>
    </row>
    <row r="3528" spans="28:31" ht="12">
      <c r="AB3528" s="304"/>
      <c r="AC3528" s="304"/>
      <c r="AD3528" s="304"/>
      <c r="AE3528" s="304"/>
    </row>
    <row r="3529" spans="28:31" ht="12">
      <c r="AB3529" s="304"/>
      <c r="AC3529" s="304"/>
      <c r="AD3529" s="304"/>
      <c r="AE3529" s="304"/>
    </row>
    <row r="3530" spans="28:31" ht="12">
      <c r="AB3530" s="304"/>
      <c r="AC3530" s="304"/>
      <c r="AD3530" s="304"/>
      <c r="AE3530" s="304"/>
    </row>
    <row r="3531" spans="28:31" ht="12">
      <c r="AB3531" s="304"/>
      <c r="AC3531" s="304"/>
      <c r="AD3531" s="304"/>
      <c r="AE3531" s="304"/>
    </row>
    <row r="3532" spans="28:31" ht="12">
      <c r="AB3532" s="304"/>
      <c r="AC3532" s="304"/>
      <c r="AD3532" s="304"/>
      <c r="AE3532" s="304"/>
    </row>
    <row r="3533" spans="28:31" ht="12">
      <c r="AB3533" s="304"/>
      <c r="AC3533" s="304"/>
      <c r="AD3533" s="304"/>
      <c r="AE3533" s="304"/>
    </row>
    <row r="3534" spans="28:31" ht="12">
      <c r="AB3534" s="304"/>
      <c r="AC3534" s="304"/>
      <c r="AD3534" s="304"/>
      <c r="AE3534" s="304"/>
    </row>
    <row r="3535" spans="28:31" ht="12">
      <c r="AB3535" s="304"/>
      <c r="AC3535" s="304"/>
      <c r="AD3535" s="304"/>
      <c r="AE3535" s="304"/>
    </row>
    <row r="3536" spans="28:31" ht="12">
      <c r="AB3536" s="304"/>
      <c r="AC3536" s="304"/>
      <c r="AD3536" s="304"/>
      <c r="AE3536" s="304"/>
    </row>
    <row r="3537" spans="28:31" ht="12">
      <c r="AB3537" s="304"/>
      <c r="AC3537" s="304"/>
      <c r="AD3537" s="304"/>
      <c r="AE3537" s="304"/>
    </row>
    <row r="3538" spans="28:31" ht="12">
      <c r="AB3538" s="304"/>
      <c r="AC3538" s="304"/>
      <c r="AD3538" s="304"/>
      <c r="AE3538" s="304"/>
    </row>
    <row r="3539" spans="28:31" ht="12">
      <c r="AB3539" s="304"/>
      <c r="AC3539" s="304"/>
      <c r="AD3539" s="304"/>
      <c r="AE3539" s="304"/>
    </row>
    <row r="3540" spans="28:31" ht="12">
      <c r="AB3540" s="304"/>
      <c r="AC3540" s="304"/>
      <c r="AD3540" s="304"/>
      <c r="AE3540" s="304"/>
    </row>
    <row r="3541" spans="28:31" ht="12">
      <c r="AB3541" s="304"/>
      <c r="AC3541" s="304"/>
      <c r="AD3541" s="304"/>
      <c r="AE3541" s="304"/>
    </row>
    <row r="3542" spans="28:31" ht="12">
      <c r="AB3542" s="304"/>
      <c r="AC3542" s="304"/>
      <c r="AD3542" s="304"/>
      <c r="AE3542" s="304"/>
    </row>
    <row r="3543" spans="28:31" ht="12">
      <c r="AB3543" s="304"/>
      <c r="AC3543" s="304"/>
      <c r="AD3543" s="304"/>
      <c r="AE3543" s="304"/>
    </row>
    <row r="3544" spans="28:31" ht="12">
      <c r="AB3544" s="304"/>
      <c r="AC3544" s="304"/>
      <c r="AD3544" s="304"/>
      <c r="AE3544" s="304"/>
    </row>
    <row r="3545" spans="28:31" ht="12">
      <c r="AB3545" s="304"/>
      <c r="AC3545" s="304"/>
      <c r="AD3545" s="304"/>
      <c r="AE3545" s="304"/>
    </row>
    <row r="3546" spans="28:31" ht="12">
      <c r="AB3546" s="304"/>
      <c r="AC3546" s="304"/>
      <c r="AD3546" s="304"/>
      <c r="AE3546" s="304"/>
    </row>
    <row r="3547" spans="28:31" ht="12">
      <c r="AB3547" s="304"/>
      <c r="AC3547" s="304"/>
      <c r="AD3547" s="304"/>
      <c r="AE3547" s="304"/>
    </row>
    <row r="3548" spans="28:31" ht="12">
      <c r="AB3548" s="304"/>
      <c r="AC3548" s="304"/>
      <c r="AD3548" s="304"/>
      <c r="AE3548" s="304"/>
    </row>
    <row r="3549" spans="28:31" ht="12">
      <c r="AB3549" s="304"/>
      <c r="AC3549" s="304"/>
      <c r="AD3549" s="304"/>
      <c r="AE3549" s="304"/>
    </row>
    <row r="3550" spans="28:31" ht="12">
      <c r="AB3550" s="304"/>
      <c r="AC3550" s="304"/>
      <c r="AD3550" s="304"/>
      <c r="AE3550" s="304"/>
    </row>
    <row r="3551" spans="28:31" ht="12">
      <c r="AB3551" s="304"/>
      <c r="AC3551" s="304"/>
      <c r="AD3551" s="304"/>
      <c r="AE3551" s="304"/>
    </row>
    <row r="3552" spans="28:31" ht="12">
      <c r="AB3552" s="304"/>
      <c r="AC3552" s="304"/>
      <c r="AD3552" s="304"/>
      <c r="AE3552" s="304"/>
    </row>
    <row r="3553" spans="28:31" ht="12">
      <c r="AB3553" s="304"/>
      <c r="AC3553" s="304"/>
      <c r="AD3553" s="304"/>
      <c r="AE3553" s="304"/>
    </row>
    <row r="3554" spans="28:31" ht="12">
      <c r="AB3554" s="304"/>
      <c r="AC3554" s="304"/>
      <c r="AD3554" s="304"/>
      <c r="AE3554" s="304"/>
    </row>
    <row r="3555" spans="28:31" ht="12">
      <c r="AB3555" s="304"/>
      <c r="AC3555" s="304"/>
      <c r="AD3555" s="304"/>
      <c r="AE3555" s="304"/>
    </row>
    <row r="3556" spans="28:31" ht="12">
      <c r="AB3556" s="304"/>
      <c r="AC3556" s="304"/>
      <c r="AD3556" s="304"/>
      <c r="AE3556" s="304"/>
    </row>
    <row r="3557" spans="28:31" ht="12">
      <c r="AB3557" s="304"/>
      <c r="AC3557" s="304"/>
      <c r="AD3557" s="304"/>
      <c r="AE3557" s="304"/>
    </row>
    <row r="3558" spans="28:31" ht="12">
      <c r="AB3558" s="304"/>
      <c r="AC3558" s="304"/>
      <c r="AD3558" s="304"/>
      <c r="AE3558" s="304"/>
    </row>
    <row r="3559" spans="28:31" ht="12">
      <c r="AB3559" s="304"/>
      <c r="AC3559" s="304"/>
      <c r="AD3559" s="304"/>
      <c r="AE3559" s="304"/>
    </row>
    <row r="3560" spans="28:31" ht="12">
      <c r="AB3560" s="304"/>
      <c r="AC3560" s="304"/>
      <c r="AD3560" s="304"/>
      <c r="AE3560" s="304"/>
    </row>
    <row r="3561" spans="28:31" ht="12">
      <c r="AB3561" s="304"/>
      <c r="AC3561" s="304"/>
      <c r="AD3561" s="304"/>
      <c r="AE3561" s="304"/>
    </row>
    <row r="3562" spans="28:31" ht="12">
      <c r="AB3562" s="304"/>
      <c r="AC3562" s="304"/>
      <c r="AD3562" s="304"/>
      <c r="AE3562" s="304"/>
    </row>
    <row r="3563" spans="28:31" ht="12">
      <c r="AB3563" s="304"/>
      <c r="AC3563" s="304"/>
      <c r="AD3563" s="304"/>
      <c r="AE3563" s="304"/>
    </row>
    <row r="3564" spans="28:31" ht="12">
      <c r="AB3564" s="304"/>
      <c r="AC3564" s="304"/>
      <c r="AD3564" s="304"/>
      <c r="AE3564" s="304"/>
    </row>
    <row r="3565" spans="28:31" ht="12">
      <c r="AB3565" s="304"/>
      <c r="AC3565" s="304"/>
      <c r="AD3565" s="304"/>
      <c r="AE3565" s="304"/>
    </row>
    <row r="3566" spans="28:31" ht="12">
      <c r="AB3566" s="304"/>
      <c r="AC3566" s="304"/>
      <c r="AD3566" s="304"/>
      <c r="AE3566" s="304"/>
    </row>
    <row r="3567" spans="28:31" ht="12">
      <c r="AB3567" s="304"/>
      <c r="AC3567" s="304"/>
      <c r="AD3567" s="304"/>
      <c r="AE3567" s="304"/>
    </row>
    <row r="3568" spans="28:31" ht="12">
      <c r="AB3568" s="304"/>
      <c r="AC3568" s="304"/>
      <c r="AD3568" s="304"/>
      <c r="AE3568" s="304"/>
    </row>
    <row r="3569" spans="28:31" ht="12">
      <c r="AB3569" s="304"/>
      <c r="AC3569" s="304"/>
      <c r="AD3569" s="304"/>
      <c r="AE3569" s="304"/>
    </row>
    <row r="3570" spans="28:31" ht="12">
      <c r="AB3570" s="304"/>
      <c r="AC3570" s="304"/>
      <c r="AD3570" s="304"/>
      <c r="AE3570" s="304"/>
    </row>
    <row r="3571" spans="28:31" ht="12">
      <c r="AB3571" s="304"/>
      <c r="AC3571" s="304"/>
      <c r="AD3571" s="304"/>
      <c r="AE3571" s="304"/>
    </row>
    <row r="3572" spans="28:31" ht="12">
      <c r="AB3572" s="304"/>
      <c r="AC3572" s="304"/>
      <c r="AD3572" s="304"/>
      <c r="AE3572" s="304"/>
    </row>
    <row r="3573" spans="28:31" ht="12">
      <c r="AB3573" s="304"/>
      <c r="AC3573" s="304"/>
      <c r="AD3573" s="304"/>
      <c r="AE3573" s="304"/>
    </row>
    <row r="3574" spans="28:31" ht="12">
      <c r="AB3574" s="304"/>
      <c r="AC3574" s="304"/>
      <c r="AD3574" s="304"/>
      <c r="AE3574" s="304"/>
    </row>
    <row r="3575" spans="28:31" ht="12">
      <c r="AB3575" s="304"/>
      <c r="AC3575" s="304"/>
      <c r="AD3575" s="304"/>
      <c r="AE3575" s="304"/>
    </row>
    <row r="3576" spans="28:31" ht="12">
      <c r="AB3576" s="304"/>
      <c r="AC3576" s="304"/>
      <c r="AD3576" s="304"/>
      <c r="AE3576" s="304"/>
    </row>
    <row r="3577" spans="28:31" ht="12">
      <c r="AB3577" s="304"/>
      <c r="AC3577" s="304"/>
      <c r="AD3577" s="304"/>
      <c r="AE3577" s="304"/>
    </row>
    <row r="3578" spans="28:31" ht="12">
      <c r="AB3578" s="304"/>
      <c r="AC3578" s="304"/>
      <c r="AD3578" s="304"/>
      <c r="AE3578" s="304"/>
    </row>
    <row r="3579" spans="28:31" ht="12">
      <c r="AB3579" s="304"/>
      <c r="AC3579" s="304"/>
      <c r="AD3579" s="304"/>
      <c r="AE3579" s="304"/>
    </row>
    <row r="3580" spans="28:31" ht="12">
      <c r="AB3580" s="304"/>
      <c r="AC3580" s="304"/>
      <c r="AD3580" s="304"/>
      <c r="AE3580" s="304"/>
    </row>
    <row r="3581" spans="28:31" ht="12">
      <c r="AB3581" s="304"/>
      <c r="AC3581" s="304"/>
      <c r="AD3581" s="304"/>
      <c r="AE3581" s="304"/>
    </row>
    <row r="3582" spans="28:31" ht="12">
      <c r="AB3582" s="304"/>
      <c r="AC3582" s="304"/>
      <c r="AD3582" s="304"/>
      <c r="AE3582" s="304"/>
    </row>
    <row r="3583" spans="28:31" ht="12">
      <c r="AB3583" s="304"/>
      <c r="AC3583" s="304"/>
      <c r="AD3583" s="304"/>
      <c r="AE3583" s="304"/>
    </row>
    <row r="3584" spans="28:31" ht="12">
      <c r="AB3584" s="304"/>
      <c r="AC3584" s="304"/>
      <c r="AD3584" s="304"/>
      <c r="AE3584" s="304"/>
    </row>
    <row r="3585" spans="28:31" ht="12">
      <c r="AB3585" s="304"/>
      <c r="AC3585" s="304"/>
      <c r="AD3585" s="304"/>
      <c r="AE3585" s="304"/>
    </row>
    <row r="3586" spans="28:31" ht="12">
      <c r="AB3586" s="304"/>
      <c r="AC3586" s="304"/>
      <c r="AD3586" s="304"/>
      <c r="AE3586" s="304"/>
    </row>
    <row r="3587" spans="28:31" ht="12">
      <c r="AB3587" s="304"/>
      <c r="AC3587" s="304"/>
      <c r="AD3587" s="304"/>
      <c r="AE3587" s="304"/>
    </row>
    <row r="3588" spans="28:31" ht="12">
      <c r="AB3588" s="304"/>
      <c r="AC3588" s="304"/>
      <c r="AD3588" s="304"/>
      <c r="AE3588" s="304"/>
    </row>
    <row r="3589" spans="28:31" ht="12">
      <c r="AB3589" s="304"/>
      <c r="AC3589" s="304"/>
      <c r="AD3589" s="304"/>
      <c r="AE3589" s="304"/>
    </row>
    <row r="3590" spans="28:31" ht="12">
      <c r="AB3590" s="304"/>
      <c r="AC3590" s="304"/>
      <c r="AD3590" s="304"/>
      <c r="AE3590" s="304"/>
    </row>
    <row r="3591" spans="28:31" ht="12">
      <c r="AB3591" s="304"/>
      <c r="AC3591" s="304"/>
      <c r="AD3591" s="304"/>
      <c r="AE3591" s="304"/>
    </row>
    <row r="3592" spans="28:31" ht="12">
      <c r="AB3592" s="304"/>
      <c r="AC3592" s="304"/>
      <c r="AD3592" s="304"/>
      <c r="AE3592" s="304"/>
    </row>
    <row r="3593" spans="28:31" ht="12">
      <c r="AB3593" s="304"/>
      <c r="AC3593" s="304"/>
      <c r="AD3593" s="304"/>
      <c r="AE3593" s="304"/>
    </row>
    <row r="3594" spans="28:31" ht="12">
      <c r="AB3594" s="304"/>
      <c r="AC3594" s="304"/>
      <c r="AD3594" s="304"/>
      <c r="AE3594" s="304"/>
    </row>
    <row r="3595" spans="28:31" ht="12">
      <c r="AB3595" s="304"/>
      <c r="AC3595" s="304"/>
      <c r="AD3595" s="304"/>
      <c r="AE3595" s="304"/>
    </row>
    <row r="3596" spans="28:31" ht="12">
      <c r="AB3596" s="304"/>
      <c r="AC3596" s="304"/>
      <c r="AD3596" s="304"/>
      <c r="AE3596" s="304"/>
    </row>
    <row r="3597" spans="28:31" ht="12">
      <c r="AB3597" s="304"/>
      <c r="AC3597" s="304"/>
      <c r="AD3597" s="304"/>
      <c r="AE3597" s="304"/>
    </row>
    <row r="3598" spans="28:31" ht="12">
      <c r="AB3598" s="304"/>
      <c r="AC3598" s="304"/>
      <c r="AD3598" s="304"/>
      <c r="AE3598" s="304"/>
    </row>
    <row r="3599" spans="28:31" ht="12">
      <c r="AB3599" s="304"/>
      <c r="AC3599" s="304"/>
      <c r="AD3599" s="304"/>
      <c r="AE3599" s="304"/>
    </row>
    <row r="3600" spans="28:31" ht="12">
      <c r="AB3600" s="304"/>
      <c r="AC3600" s="304"/>
      <c r="AD3600" s="304"/>
      <c r="AE3600" s="304"/>
    </row>
    <row r="3601" spans="28:31" ht="12">
      <c r="AB3601" s="304"/>
      <c r="AC3601" s="304"/>
      <c r="AD3601" s="304"/>
      <c r="AE3601" s="304"/>
    </row>
    <row r="3602" spans="28:31" ht="12">
      <c r="AB3602" s="304"/>
      <c r="AC3602" s="304"/>
      <c r="AD3602" s="304"/>
      <c r="AE3602" s="304"/>
    </row>
    <row r="3603" spans="28:31" ht="12">
      <c r="AB3603" s="304"/>
      <c r="AC3603" s="304"/>
      <c r="AD3603" s="304"/>
      <c r="AE3603" s="304"/>
    </row>
    <row r="3604" spans="28:31" ht="12">
      <c r="AB3604" s="304"/>
      <c r="AC3604" s="304"/>
      <c r="AD3604" s="304"/>
      <c r="AE3604" s="304"/>
    </row>
    <row r="3605" spans="28:31" ht="12">
      <c r="AB3605" s="304"/>
      <c r="AC3605" s="304"/>
      <c r="AD3605" s="304"/>
      <c r="AE3605" s="304"/>
    </row>
    <row r="3606" spans="28:31" ht="12">
      <c r="AB3606" s="304"/>
      <c r="AC3606" s="304"/>
      <c r="AD3606" s="304"/>
      <c r="AE3606" s="304"/>
    </row>
    <row r="3607" spans="28:31" ht="12">
      <c r="AB3607" s="304"/>
      <c r="AC3607" s="304"/>
      <c r="AD3607" s="304"/>
      <c r="AE3607" s="304"/>
    </row>
    <row r="3608" spans="28:31" ht="12">
      <c r="AB3608" s="304"/>
      <c r="AC3608" s="304"/>
      <c r="AD3608" s="304"/>
      <c r="AE3608" s="304"/>
    </row>
    <row r="3609" spans="28:31" ht="12">
      <c r="AB3609" s="304"/>
      <c r="AC3609" s="304"/>
      <c r="AD3609" s="304"/>
      <c r="AE3609" s="304"/>
    </row>
    <row r="3610" spans="28:31" ht="12">
      <c r="AB3610" s="304"/>
      <c r="AC3610" s="304"/>
      <c r="AD3610" s="304"/>
      <c r="AE3610" s="304"/>
    </row>
    <row r="3611" spans="28:31" ht="12">
      <c r="AB3611" s="304"/>
      <c r="AC3611" s="304"/>
      <c r="AD3611" s="304"/>
      <c r="AE3611" s="304"/>
    </row>
    <row r="3612" spans="28:31" ht="12">
      <c r="AB3612" s="304"/>
      <c r="AC3612" s="304"/>
      <c r="AD3612" s="304"/>
      <c r="AE3612" s="304"/>
    </row>
    <row r="3613" spans="28:31" ht="12">
      <c r="AB3613" s="304"/>
      <c r="AC3613" s="304"/>
      <c r="AD3613" s="304"/>
      <c r="AE3613" s="304"/>
    </row>
    <row r="3614" spans="28:31" ht="12">
      <c r="AB3614" s="304"/>
      <c r="AC3614" s="304"/>
      <c r="AD3614" s="304"/>
      <c r="AE3614" s="304"/>
    </row>
    <row r="3615" spans="28:31" ht="12">
      <c r="AB3615" s="304"/>
      <c r="AC3615" s="304"/>
      <c r="AD3615" s="304"/>
      <c r="AE3615" s="304"/>
    </row>
    <row r="3616" spans="28:31" ht="12">
      <c r="AB3616" s="304"/>
      <c r="AC3616" s="304"/>
      <c r="AD3616" s="304"/>
      <c r="AE3616" s="304"/>
    </row>
    <row r="3617" spans="28:31" ht="12">
      <c r="AB3617" s="304"/>
      <c r="AC3617" s="304"/>
      <c r="AD3617" s="304"/>
      <c r="AE3617" s="304"/>
    </row>
    <row r="3618" spans="28:31" ht="12">
      <c r="AB3618" s="304"/>
      <c r="AC3618" s="304"/>
      <c r="AD3618" s="304"/>
      <c r="AE3618" s="304"/>
    </row>
    <row r="3619" spans="28:31" ht="12">
      <c r="AB3619" s="304"/>
      <c r="AC3619" s="304"/>
      <c r="AD3619" s="304"/>
      <c r="AE3619" s="304"/>
    </row>
    <row r="3620" spans="28:31" ht="12">
      <c r="AB3620" s="304"/>
      <c r="AC3620" s="304"/>
      <c r="AD3620" s="304"/>
      <c r="AE3620" s="304"/>
    </row>
    <row r="3621" spans="28:31" ht="12">
      <c r="AB3621" s="304"/>
      <c r="AC3621" s="304"/>
      <c r="AD3621" s="304"/>
      <c r="AE3621" s="304"/>
    </row>
    <row r="3622" spans="28:31" ht="12">
      <c r="AB3622" s="304"/>
      <c r="AC3622" s="304"/>
      <c r="AD3622" s="304"/>
      <c r="AE3622" s="304"/>
    </row>
    <row r="3623" spans="28:31" ht="12">
      <c r="AB3623" s="304"/>
      <c r="AC3623" s="304"/>
      <c r="AD3623" s="304"/>
      <c r="AE3623" s="304"/>
    </row>
    <row r="3624" spans="28:31" ht="12">
      <c r="AB3624" s="304"/>
      <c r="AC3624" s="304"/>
      <c r="AD3624" s="304"/>
      <c r="AE3624" s="304"/>
    </row>
    <row r="3625" spans="28:31" ht="12">
      <c r="AB3625" s="304"/>
      <c r="AC3625" s="304"/>
      <c r="AD3625" s="304"/>
      <c r="AE3625" s="304"/>
    </row>
    <row r="3626" spans="28:31" ht="12">
      <c r="AB3626" s="304"/>
      <c r="AC3626" s="304"/>
      <c r="AD3626" s="304"/>
      <c r="AE3626" s="304"/>
    </row>
    <row r="3627" spans="28:31" ht="12">
      <c r="AB3627" s="304"/>
      <c r="AC3627" s="304"/>
      <c r="AD3627" s="304"/>
      <c r="AE3627" s="304"/>
    </row>
    <row r="3628" spans="28:31" ht="12">
      <c r="AB3628" s="304"/>
      <c r="AC3628" s="304"/>
      <c r="AD3628" s="304"/>
      <c r="AE3628" s="304"/>
    </row>
    <row r="3629" spans="28:31" ht="12">
      <c r="AB3629" s="304"/>
      <c r="AC3629" s="304"/>
      <c r="AD3629" s="304"/>
      <c r="AE3629" s="304"/>
    </row>
    <row r="3630" spans="28:31" ht="12">
      <c r="AB3630" s="304"/>
      <c r="AC3630" s="304"/>
      <c r="AD3630" s="304"/>
      <c r="AE3630" s="304"/>
    </row>
    <row r="3631" spans="28:31" ht="12">
      <c r="AB3631" s="304"/>
      <c r="AC3631" s="304"/>
      <c r="AD3631" s="304"/>
      <c r="AE3631" s="304"/>
    </row>
    <row r="3632" spans="28:31" ht="12">
      <c r="AB3632" s="304"/>
      <c r="AC3632" s="304"/>
      <c r="AD3632" s="304"/>
      <c r="AE3632" s="304"/>
    </row>
    <row r="3633" spans="28:31" ht="12">
      <c r="AB3633" s="304"/>
      <c r="AC3633" s="304"/>
      <c r="AD3633" s="304"/>
      <c r="AE3633" s="304"/>
    </row>
    <row r="3634" spans="28:31" ht="12">
      <c r="AB3634" s="304"/>
      <c r="AC3634" s="304"/>
      <c r="AD3634" s="304"/>
      <c r="AE3634" s="304"/>
    </row>
    <row r="3635" spans="28:31" ht="12">
      <c r="AB3635" s="304"/>
      <c r="AC3635" s="304"/>
      <c r="AD3635" s="304"/>
      <c r="AE3635" s="304"/>
    </row>
    <row r="3636" spans="28:31" ht="12">
      <c r="AB3636" s="304"/>
      <c r="AC3636" s="304"/>
      <c r="AD3636" s="304"/>
      <c r="AE3636" s="304"/>
    </row>
    <row r="3637" spans="28:31" ht="12">
      <c r="AB3637" s="304"/>
      <c r="AC3637" s="304"/>
      <c r="AD3637" s="304"/>
      <c r="AE3637" s="304"/>
    </row>
    <row r="3638" spans="28:31" ht="12">
      <c r="AB3638" s="304"/>
      <c r="AC3638" s="304"/>
      <c r="AD3638" s="304"/>
      <c r="AE3638" s="304"/>
    </row>
    <row r="3639" spans="28:31" ht="12">
      <c r="AB3639" s="304"/>
      <c r="AC3639" s="304"/>
      <c r="AD3639" s="304"/>
      <c r="AE3639" s="304"/>
    </row>
    <row r="3640" spans="28:31" ht="12">
      <c r="AB3640" s="304"/>
      <c r="AC3640" s="304"/>
      <c r="AD3640" s="304"/>
      <c r="AE3640" s="304"/>
    </row>
    <row r="3641" spans="28:31" ht="12">
      <c r="AB3641" s="304"/>
      <c r="AC3641" s="304"/>
      <c r="AD3641" s="304"/>
      <c r="AE3641" s="304"/>
    </row>
    <row r="3642" spans="28:31" ht="12">
      <c r="AB3642" s="304"/>
      <c r="AC3642" s="304"/>
      <c r="AD3642" s="304"/>
      <c r="AE3642" s="304"/>
    </row>
    <row r="3643" spans="28:31" ht="12">
      <c r="AB3643" s="304"/>
      <c r="AC3643" s="304"/>
      <c r="AD3643" s="304"/>
      <c r="AE3643" s="304"/>
    </row>
    <row r="3644" spans="28:31" ht="12">
      <c r="AB3644" s="304"/>
      <c r="AC3644" s="304"/>
      <c r="AD3644" s="304"/>
      <c r="AE3644" s="304"/>
    </row>
    <row r="3645" spans="28:31" ht="12">
      <c r="AB3645" s="304"/>
      <c r="AC3645" s="304"/>
      <c r="AD3645" s="304"/>
      <c r="AE3645" s="304"/>
    </row>
    <row r="3646" spans="28:31" ht="12">
      <c r="AB3646" s="304"/>
      <c r="AC3646" s="304"/>
      <c r="AD3646" s="304"/>
      <c r="AE3646" s="304"/>
    </row>
    <row r="3647" spans="28:31" ht="12">
      <c r="AB3647" s="304"/>
      <c r="AC3647" s="304"/>
      <c r="AD3647" s="304"/>
      <c r="AE3647" s="304"/>
    </row>
    <row r="3648" spans="28:31" ht="12">
      <c r="AB3648" s="304"/>
      <c r="AC3648" s="304"/>
      <c r="AD3648" s="304"/>
      <c r="AE3648" s="304"/>
    </row>
    <row r="3649" spans="28:31" ht="12">
      <c r="AB3649" s="304"/>
      <c r="AC3649" s="304"/>
      <c r="AD3649" s="304"/>
      <c r="AE3649" s="304"/>
    </row>
    <row r="3650" spans="28:31" ht="12">
      <c r="AB3650" s="304"/>
      <c r="AC3650" s="304"/>
      <c r="AD3650" s="304"/>
      <c r="AE3650" s="304"/>
    </row>
    <row r="3651" spans="28:31" ht="12">
      <c r="AB3651" s="304"/>
      <c r="AC3651" s="304"/>
      <c r="AD3651" s="304"/>
      <c r="AE3651" s="304"/>
    </row>
    <row r="3652" spans="28:31" ht="12">
      <c r="AB3652" s="304"/>
      <c r="AC3652" s="304"/>
      <c r="AD3652" s="304"/>
      <c r="AE3652" s="304"/>
    </row>
    <row r="3653" spans="28:31" ht="12">
      <c r="AB3653" s="304"/>
      <c r="AC3653" s="304"/>
      <c r="AD3653" s="304"/>
      <c r="AE3653" s="304"/>
    </row>
    <row r="3654" spans="28:31" ht="12">
      <c r="AB3654" s="304"/>
      <c r="AC3654" s="304"/>
      <c r="AD3654" s="304"/>
      <c r="AE3654" s="304"/>
    </row>
    <row r="3655" spans="28:31" ht="12">
      <c r="AB3655" s="304"/>
      <c r="AC3655" s="304"/>
      <c r="AD3655" s="304"/>
      <c r="AE3655" s="304"/>
    </row>
    <row r="3656" spans="28:31" ht="12">
      <c r="AB3656" s="304"/>
      <c r="AC3656" s="304"/>
      <c r="AD3656" s="304"/>
      <c r="AE3656" s="304"/>
    </row>
    <row r="3657" spans="28:31" ht="12">
      <c r="AB3657" s="304"/>
      <c r="AC3657" s="304"/>
      <c r="AD3657" s="304"/>
      <c r="AE3657" s="304"/>
    </row>
    <row r="3658" spans="28:31" ht="12">
      <c r="AB3658" s="304"/>
      <c r="AC3658" s="304"/>
      <c r="AD3658" s="304"/>
      <c r="AE3658" s="304"/>
    </row>
    <row r="3659" spans="28:31" ht="12">
      <c r="AB3659" s="304"/>
      <c r="AC3659" s="304"/>
      <c r="AD3659" s="304"/>
      <c r="AE3659" s="304"/>
    </row>
    <row r="3660" spans="28:31" ht="12">
      <c r="AB3660" s="304"/>
      <c r="AC3660" s="304"/>
      <c r="AD3660" s="304"/>
      <c r="AE3660" s="304"/>
    </row>
    <row r="3661" spans="28:31" ht="12">
      <c r="AB3661" s="304"/>
      <c r="AC3661" s="304"/>
      <c r="AD3661" s="304"/>
      <c r="AE3661" s="304"/>
    </row>
    <row r="3662" spans="28:31" ht="12">
      <c r="AB3662" s="304"/>
      <c r="AC3662" s="304"/>
      <c r="AD3662" s="304"/>
      <c r="AE3662" s="304"/>
    </row>
    <row r="3663" spans="28:31" ht="12">
      <c r="AB3663" s="304"/>
      <c r="AC3663" s="304"/>
      <c r="AD3663" s="304"/>
      <c r="AE3663" s="304"/>
    </row>
    <row r="3664" spans="28:31" ht="12">
      <c r="AB3664" s="304"/>
      <c r="AC3664" s="304"/>
      <c r="AD3664" s="304"/>
      <c r="AE3664" s="304"/>
    </row>
    <row r="3665" spans="28:31" ht="12">
      <c r="AB3665" s="304"/>
      <c r="AC3665" s="304"/>
      <c r="AD3665" s="304"/>
      <c r="AE3665" s="304"/>
    </row>
    <row r="3666" spans="28:31" ht="12">
      <c r="AB3666" s="304"/>
      <c r="AC3666" s="304"/>
      <c r="AD3666" s="304"/>
      <c r="AE3666" s="304"/>
    </row>
    <row r="3667" spans="28:31" ht="12">
      <c r="AB3667" s="304"/>
      <c r="AC3667" s="304"/>
      <c r="AD3667" s="304"/>
      <c r="AE3667" s="304"/>
    </row>
    <row r="3668" spans="28:31" ht="12">
      <c r="AB3668" s="304"/>
      <c r="AC3668" s="304"/>
      <c r="AD3668" s="304"/>
      <c r="AE3668" s="304"/>
    </row>
    <row r="3669" spans="28:31" ht="12">
      <c r="AB3669" s="304"/>
      <c r="AC3669" s="304"/>
      <c r="AD3669" s="304"/>
      <c r="AE3669" s="304"/>
    </row>
    <row r="3670" spans="28:31" ht="12">
      <c r="AB3670" s="304"/>
      <c r="AC3670" s="304"/>
      <c r="AD3670" s="304"/>
      <c r="AE3670" s="304"/>
    </row>
    <row r="3671" spans="28:31" ht="12">
      <c r="AB3671" s="304"/>
      <c r="AC3671" s="304"/>
      <c r="AD3671" s="304"/>
      <c r="AE3671" s="304"/>
    </row>
    <row r="3672" spans="28:31" ht="12">
      <c r="AB3672" s="304"/>
      <c r="AC3672" s="304"/>
      <c r="AD3672" s="304"/>
      <c r="AE3672" s="304"/>
    </row>
    <row r="3673" spans="28:31" ht="12">
      <c r="AB3673" s="304"/>
      <c r="AC3673" s="304"/>
      <c r="AD3673" s="304"/>
      <c r="AE3673" s="304"/>
    </row>
    <row r="3674" spans="28:31" ht="12">
      <c r="AB3674" s="304"/>
      <c r="AC3674" s="304"/>
      <c r="AD3674" s="304"/>
      <c r="AE3674" s="304"/>
    </row>
    <row r="3675" spans="28:31" ht="12">
      <c r="AB3675" s="304"/>
      <c r="AC3675" s="304"/>
      <c r="AD3675" s="304"/>
      <c r="AE3675" s="304"/>
    </row>
    <row r="3676" spans="28:31" ht="12">
      <c r="AB3676" s="304"/>
      <c r="AC3676" s="304"/>
      <c r="AD3676" s="304"/>
      <c r="AE3676" s="304"/>
    </row>
    <row r="3677" spans="28:31" ht="12">
      <c r="AB3677" s="304"/>
      <c r="AC3677" s="304"/>
      <c r="AD3677" s="304"/>
      <c r="AE3677" s="304"/>
    </row>
    <row r="3678" spans="28:31" ht="12">
      <c r="AB3678" s="304"/>
      <c r="AC3678" s="304"/>
      <c r="AD3678" s="304"/>
      <c r="AE3678" s="304"/>
    </row>
    <row r="3679" spans="28:31" ht="12">
      <c r="AB3679" s="304"/>
      <c r="AC3679" s="304"/>
      <c r="AD3679" s="304"/>
      <c r="AE3679" s="304"/>
    </row>
    <row r="3680" spans="28:31" ht="12">
      <c r="AB3680" s="304"/>
      <c r="AC3680" s="304"/>
      <c r="AD3680" s="304"/>
      <c r="AE3680" s="304"/>
    </row>
    <row r="3681" spans="28:31" ht="12">
      <c r="AB3681" s="304"/>
      <c r="AC3681" s="304"/>
      <c r="AD3681" s="304"/>
      <c r="AE3681" s="304"/>
    </row>
    <row r="3682" spans="28:31" ht="12">
      <c r="AB3682" s="304"/>
      <c r="AC3682" s="304"/>
      <c r="AD3682" s="304"/>
      <c r="AE3682" s="304"/>
    </row>
    <row r="3683" spans="28:31" ht="12">
      <c r="AB3683" s="304"/>
      <c r="AC3683" s="304"/>
      <c r="AD3683" s="304"/>
      <c r="AE3683" s="304"/>
    </row>
    <row r="3684" spans="28:31" ht="12">
      <c r="AB3684" s="304"/>
      <c r="AC3684" s="304"/>
      <c r="AD3684" s="304"/>
      <c r="AE3684" s="304"/>
    </row>
    <row r="3685" spans="28:31" ht="12">
      <c r="AB3685" s="304"/>
      <c r="AC3685" s="304"/>
      <c r="AD3685" s="304"/>
      <c r="AE3685" s="304"/>
    </row>
    <row r="3686" spans="28:31" ht="12">
      <c r="AB3686" s="304"/>
      <c r="AC3686" s="304"/>
      <c r="AD3686" s="304"/>
      <c r="AE3686" s="304"/>
    </row>
    <row r="3687" spans="28:31" ht="12">
      <c r="AB3687" s="304"/>
      <c r="AC3687" s="304"/>
      <c r="AD3687" s="304"/>
      <c r="AE3687" s="304"/>
    </row>
    <row r="3688" spans="28:31" ht="12">
      <c r="AB3688" s="304"/>
      <c r="AC3688" s="304"/>
      <c r="AD3688" s="304"/>
      <c r="AE3688" s="304"/>
    </row>
    <row r="3689" spans="28:31" ht="12">
      <c r="AB3689" s="304"/>
      <c r="AC3689" s="304"/>
      <c r="AD3689" s="304"/>
      <c r="AE3689" s="304"/>
    </row>
    <row r="3690" spans="28:31" ht="12">
      <c r="AB3690" s="304"/>
      <c r="AC3690" s="304"/>
      <c r="AD3690" s="304"/>
      <c r="AE3690" s="304"/>
    </row>
    <row r="3691" spans="28:31" ht="12">
      <c r="AB3691" s="304"/>
      <c r="AC3691" s="304"/>
      <c r="AD3691" s="304"/>
      <c r="AE3691" s="304"/>
    </row>
    <row r="3692" spans="28:31" ht="12">
      <c r="AB3692" s="304"/>
      <c r="AC3692" s="304"/>
      <c r="AD3692" s="304"/>
      <c r="AE3692" s="304"/>
    </row>
    <row r="3693" spans="28:31" ht="12">
      <c r="AB3693" s="304"/>
      <c r="AC3693" s="304"/>
      <c r="AD3693" s="304"/>
      <c r="AE3693" s="304"/>
    </row>
    <row r="3694" spans="28:31" ht="12">
      <c r="AB3694" s="304"/>
      <c r="AC3694" s="304"/>
      <c r="AD3694" s="304"/>
      <c r="AE3694" s="304"/>
    </row>
    <row r="3695" spans="28:31" ht="12">
      <c r="AB3695" s="304"/>
      <c r="AC3695" s="304"/>
      <c r="AD3695" s="304"/>
      <c r="AE3695" s="304"/>
    </row>
    <row r="3696" spans="28:31" ht="12">
      <c r="AB3696" s="304"/>
      <c r="AC3696" s="304"/>
      <c r="AD3696" s="304"/>
      <c r="AE3696" s="304"/>
    </row>
    <row r="3697" spans="28:31" ht="12">
      <c r="AB3697" s="304"/>
      <c r="AC3697" s="304"/>
      <c r="AD3697" s="304"/>
      <c r="AE3697" s="304"/>
    </row>
    <row r="3698" spans="28:31" ht="12">
      <c r="AB3698" s="304"/>
      <c r="AC3698" s="304"/>
      <c r="AD3698" s="304"/>
      <c r="AE3698" s="304"/>
    </row>
    <row r="3699" spans="28:31" ht="12">
      <c r="AB3699" s="304"/>
      <c r="AC3699" s="304"/>
      <c r="AD3699" s="304"/>
      <c r="AE3699" s="304"/>
    </row>
    <row r="3700" spans="28:31" ht="12">
      <c r="AB3700" s="304"/>
      <c r="AC3700" s="304"/>
      <c r="AD3700" s="304"/>
      <c r="AE3700" s="304"/>
    </row>
    <row r="3701" spans="28:31" ht="12">
      <c r="AB3701" s="304"/>
      <c r="AC3701" s="304"/>
      <c r="AD3701" s="304"/>
      <c r="AE3701" s="304"/>
    </row>
    <row r="3702" spans="28:31" ht="12">
      <c r="AB3702" s="304"/>
      <c r="AC3702" s="304"/>
      <c r="AD3702" s="304"/>
      <c r="AE3702" s="304"/>
    </row>
    <row r="3703" spans="28:31" ht="12">
      <c r="AB3703" s="304"/>
      <c r="AC3703" s="304"/>
      <c r="AD3703" s="304"/>
      <c r="AE3703" s="304"/>
    </row>
    <row r="3704" spans="28:31" ht="12">
      <c r="AB3704" s="304"/>
      <c r="AC3704" s="304"/>
      <c r="AD3704" s="304"/>
      <c r="AE3704" s="304"/>
    </row>
    <row r="3705" spans="28:31" ht="12">
      <c r="AB3705" s="304"/>
      <c r="AC3705" s="304"/>
      <c r="AD3705" s="304"/>
      <c r="AE3705" s="304"/>
    </row>
    <row r="3706" spans="28:31" ht="12">
      <c r="AB3706" s="304"/>
      <c r="AC3706" s="304"/>
      <c r="AD3706" s="304"/>
      <c r="AE3706" s="304"/>
    </row>
    <row r="3707" spans="28:31" ht="12">
      <c r="AB3707" s="304"/>
      <c r="AC3707" s="304"/>
      <c r="AD3707" s="304"/>
      <c r="AE3707" s="304"/>
    </row>
    <row r="3708" spans="28:31" ht="12">
      <c r="AB3708" s="304"/>
      <c r="AC3708" s="304"/>
      <c r="AD3708" s="304"/>
      <c r="AE3708" s="304"/>
    </row>
    <row r="3709" spans="28:31" ht="12">
      <c r="AB3709" s="304"/>
      <c r="AC3709" s="304"/>
      <c r="AD3709" s="304"/>
      <c r="AE3709" s="304"/>
    </row>
    <row r="3710" spans="28:31" ht="12">
      <c r="AB3710" s="304"/>
      <c r="AC3710" s="304"/>
      <c r="AD3710" s="304"/>
      <c r="AE3710" s="304"/>
    </row>
    <row r="3711" spans="28:31" ht="12">
      <c r="AB3711" s="304"/>
      <c r="AC3711" s="304"/>
      <c r="AD3711" s="304"/>
      <c r="AE3711" s="304"/>
    </row>
    <row r="3712" spans="28:31" ht="12">
      <c r="AB3712" s="304"/>
      <c r="AC3712" s="304"/>
      <c r="AD3712" s="304"/>
      <c r="AE3712" s="304"/>
    </row>
    <row r="3713" spans="28:31" ht="12">
      <c r="AB3713" s="304"/>
      <c r="AC3713" s="304"/>
      <c r="AD3713" s="304"/>
      <c r="AE3713" s="304"/>
    </row>
    <row r="3714" spans="28:31" ht="12">
      <c r="AB3714" s="304"/>
      <c r="AC3714" s="304"/>
      <c r="AD3714" s="304"/>
      <c r="AE3714" s="304"/>
    </row>
    <row r="3715" spans="28:31" ht="12">
      <c r="AB3715" s="304"/>
      <c r="AC3715" s="304"/>
      <c r="AD3715" s="304"/>
      <c r="AE3715" s="304"/>
    </row>
    <row r="3716" spans="28:31" ht="12">
      <c r="AB3716" s="304"/>
      <c r="AC3716" s="304"/>
      <c r="AD3716" s="304"/>
      <c r="AE3716" s="304"/>
    </row>
    <row r="3717" spans="28:31" ht="12">
      <c r="AB3717" s="304"/>
      <c r="AC3717" s="304"/>
      <c r="AD3717" s="304"/>
      <c r="AE3717" s="304"/>
    </row>
    <row r="3718" spans="28:31" ht="12">
      <c r="AB3718" s="304"/>
      <c r="AC3718" s="304"/>
      <c r="AD3718" s="304"/>
      <c r="AE3718" s="304"/>
    </row>
    <row r="3719" spans="28:31" ht="12">
      <c r="AB3719" s="304"/>
      <c r="AC3719" s="304"/>
      <c r="AD3719" s="304"/>
      <c r="AE3719" s="304"/>
    </row>
    <row r="3720" spans="28:31" ht="12">
      <c r="AB3720" s="304"/>
      <c r="AC3720" s="304"/>
      <c r="AD3720" s="304"/>
      <c r="AE3720" s="304"/>
    </row>
    <row r="3721" spans="28:31" ht="12">
      <c r="AB3721" s="304"/>
      <c r="AC3721" s="304"/>
      <c r="AD3721" s="304"/>
      <c r="AE3721" s="304"/>
    </row>
    <row r="3722" spans="28:31" ht="12">
      <c r="AB3722" s="304"/>
      <c r="AC3722" s="304"/>
      <c r="AD3722" s="304"/>
      <c r="AE3722" s="304"/>
    </row>
    <row r="3723" spans="28:31" ht="12">
      <c r="AB3723" s="304"/>
      <c r="AC3723" s="304"/>
      <c r="AD3723" s="304"/>
      <c r="AE3723" s="304"/>
    </row>
    <row r="3724" spans="28:31" ht="12">
      <c r="AB3724" s="304"/>
      <c r="AC3724" s="304"/>
      <c r="AD3724" s="304"/>
      <c r="AE3724" s="304"/>
    </row>
    <row r="3725" spans="28:31" ht="12">
      <c r="AB3725" s="304"/>
      <c r="AC3725" s="304"/>
      <c r="AD3725" s="304"/>
      <c r="AE3725" s="304"/>
    </row>
    <row r="3726" spans="28:31" ht="12">
      <c r="AB3726" s="304"/>
      <c r="AC3726" s="304"/>
      <c r="AD3726" s="304"/>
      <c r="AE3726" s="304"/>
    </row>
    <row r="3727" spans="28:31" ht="12">
      <c r="AB3727" s="304"/>
      <c r="AC3727" s="304"/>
      <c r="AD3727" s="304"/>
      <c r="AE3727" s="304"/>
    </row>
    <row r="3728" spans="28:31" ht="12">
      <c r="AB3728" s="304"/>
      <c r="AC3728" s="304"/>
      <c r="AD3728" s="304"/>
      <c r="AE3728" s="304"/>
    </row>
    <row r="3729" spans="28:31" ht="12">
      <c r="AB3729" s="304"/>
      <c r="AC3729" s="304"/>
      <c r="AD3729" s="304"/>
      <c r="AE3729" s="304"/>
    </row>
    <row r="3730" spans="28:31" ht="12">
      <c r="AB3730" s="304"/>
      <c r="AC3730" s="304"/>
      <c r="AD3730" s="304"/>
      <c r="AE3730" s="304"/>
    </row>
    <row r="3731" spans="28:31" ht="12">
      <c r="AB3731" s="304"/>
      <c r="AC3731" s="304"/>
      <c r="AD3731" s="304"/>
      <c r="AE3731" s="304"/>
    </row>
    <row r="3732" spans="28:31" ht="12">
      <c r="AB3732" s="304"/>
      <c r="AC3732" s="304"/>
      <c r="AD3732" s="304"/>
      <c r="AE3732" s="304"/>
    </row>
    <row r="3733" spans="28:31" ht="12">
      <c r="AB3733" s="304"/>
      <c r="AC3733" s="304"/>
      <c r="AD3733" s="304"/>
      <c r="AE3733" s="304"/>
    </row>
    <row r="3734" spans="28:31" ht="12">
      <c r="AB3734" s="304"/>
      <c r="AC3734" s="304"/>
      <c r="AD3734" s="304"/>
      <c r="AE3734" s="304"/>
    </row>
    <row r="3735" spans="28:31" ht="12">
      <c r="AB3735" s="304"/>
      <c r="AC3735" s="304"/>
      <c r="AD3735" s="304"/>
      <c r="AE3735" s="304"/>
    </row>
    <row r="3736" spans="28:31" ht="12">
      <c r="AB3736" s="304"/>
      <c r="AC3736" s="304"/>
      <c r="AD3736" s="304"/>
      <c r="AE3736" s="304"/>
    </row>
    <row r="3737" spans="28:31" ht="12">
      <c r="AB3737" s="304"/>
      <c r="AC3737" s="304"/>
      <c r="AD3737" s="304"/>
      <c r="AE3737" s="304"/>
    </row>
    <row r="3738" spans="28:31" ht="12">
      <c r="AB3738" s="304"/>
      <c r="AC3738" s="304"/>
      <c r="AD3738" s="304"/>
      <c r="AE3738" s="304"/>
    </row>
    <row r="3739" spans="28:31" ht="12">
      <c r="AB3739" s="304"/>
      <c r="AC3739" s="304"/>
      <c r="AD3739" s="304"/>
      <c r="AE3739" s="304"/>
    </row>
    <row r="3740" spans="28:31" ht="12">
      <c r="AB3740" s="304"/>
      <c r="AC3740" s="304"/>
      <c r="AD3740" s="304"/>
      <c r="AE3740" s="304"/>
    </row>
    <row r="3741" spans="28:31" ht="12">
      <c r="AB3741" s="304"/>
      <c r="AC3741" s="304"/>
      <c r="AD3741" s="304"/>
      <c r="AE3741" s="304"/>
    </row>
    <row r="3742" spans="28:31" ht="12">
      <c r="AB3742" s="304"/>
      <c r="AC3742" s="304"/>
      <c r="AD3742" s="304"/>
      <c r="AE3742" s="304"/>
    </row>
    <row r="3743" spans="28:31" ht="12">
      <c r="AB3743" s="304"/>
      <c r="AC3743" s="304"/>
      <c r="AD3743" s="304"/>
      <c r="AE3743" s="304"/>
    </row>
    <row r="3744" spans="28:31" ht="12">
      <c r="AB3744" s="304"/>
      <c r="AC3744" s="304"/>
      <c r="AD3744" s="304"/>
      <c r="AE3744" s="304"/>
    </row>
    <row r="3745" spans="28:31" ht="12">
      <c r="AB3745" s="304"/>
      <c r="AC3745" s="304"/>
      <c r="AD3745" s="304"/>
      <c r="AE3745" s="304"/>
    </row>
    <row r="3746" spans="28:31" ht="12">
      <c r="AB3746" s="304"/>
      <c r="AC3746" s="304"/>
      <c r="AD3746" s="304"/>
      <c r="AE3746" s="304"/>
    </row>
    <row r="3747" spans="28:31" ht="12">
      <c r="AB3747" s="304"/>
      <c r="AC3747" s="304"/>
      <c r="AD3747" s="304"/>
      <c r="AE3747" s="304"/>
    </row>
    <row r="3748" spans="28:31" ht="12">
      <c r="AB3748" s="304"/>
      <c r="AC3748" s="304"/>
      <c r="AD3748" s="304"/>
      <c r="AE3748" s="304"/>
    </row>
    <row r="3749" spans="28:31" ht="12">
      <c r="AB3749" s="304"/>
      <c r="AC3749" s="304"/>
      <c r="AD3749" s="304"/>
      <c r="AE3749" s="304"/>
    </row>
    <row r="3750" spans="28:31" ht="12">
      <c r="AB3750" s="304"/>
      <c r="AC3750" s="304"/>
      <c r="AD3750" s="304"/>
      <c r="AE3750" s="304"/>
    </row>
    <row r="3751" spans="28:31" ht="12">
      <c r="AB3751" s="304"/>
      <c r="AC3751" s="304"/>
      <c r="AD3751" s="304"/>
      <c r="AE3751" s="304"/>
    </row>
    <row r="3752" spans="28:31" ht="12">
      <c r="AB3752" s="304"/>
      <c r="AC3752" s="304"/>
      <c r="AD3752" s="304"/>
      <c r="AE3752" s="304"/>
    </row>
    <row r="3753" spans="28:31" ht="12">
      <c r="AB3753" s="304"/>
      <c r="AC3753" s="304"/>
      <c r="AD3753" s="304"/>
      <c r="AE3753" s="304"/>
    </row>
    <row r="3754" spans="28:31" ht="12">
      <c r="AB3754" s="304"/>
      <c r="AC3754" s="304"/>
      <c r="AD3754" s="304"/>
      <c r="AE3754" s="304"/>
    </row>
    <row r="3755" spans="28:31" ht="12">
      <c r="AB3755" s="304"/>
      <c r="AC3755" s="304"/>
      <c r="AD3755" s="304"/>
      <c r="AE3755" s="304"/>
    </row>
    <row r="3756" spans="28:31" ht="12">
      <c r="AB3756" s="304"/>
      <c r="AC3756" s="304"/>
      <c r="AD3756" s="304"/>
      <c r="AE3756" s="304"/>
    </row>
    <row r="3757" spans="28:31" ht="12">
      <c r="AB3757" s="304"/>
      <c r="AC3757" s="304"/>
      <c r="AD3757" s="304"/>
      <c r="AE3757" s="304"/>
    </row>
    <row r="3758" spans="28:31" ht="12">
      <c r="AB3758" s="304"/>
      <c r="AC3758" s="304"/>
      <c r="AD3758" s="304"/>
      <c r="AE3758" s="304"/>
    </row>
    <row r="3759" spans="28:31" ht="12">
      <c r="AB3759" s="304"/>
      <c r="AC3759" s="304"/>
      <c r="AD3759" s="304"/>
      <c r="AE3759" s="304"/>
    </row>
    <row r="3760" spans="28:31" ht="12">
      <c r="AB3760" s="304"/>
      <c r="AC3760" s="304"/>
      <c r="AD3760" s="304"/>
      <c r="AE3760" s="304"/>
    </row>
    <row r="3761" spans="28:31" ht="12">
      <c r="AB3761" s="304"/>
      <c r="AC3761" s="304"/>
      <c r="AD3761" s="304"/>
      <c r="AE3761" s="304"/>
    </row>
    <row r="3762" spans="28:31" ht="12">
      <c r="AB3762" s="304"/>
      <c r="AC3762" s="304"/>
      <c r="AD3762" s="304"/>
      <c r="AE3762" s="304"/>
    </row>
    <row r="3763" spans="28:31" ht="12">
      <c r="AB3763" s="304"/>
      <c r="AC3763" s="304"/>
      <c r="AD3763" s="304"/>
      <c r="AE3763" s="304"/>
    </row>
    <row r="3764" spans="28:31" ht="12">
      <c r="AB3764" s="304"/>
      <c r="AC3764" s="304"/>
      <c r="AD3764" s="304"/>
      <c r="AE3764" s="304"/>
    </row>
    <row r="3765" spans="28:31" ht="12">
      <c r="AB3765" s="304"/>
      <c r="AC3765" s="304"/>
      <c r="AD3765" s="304"/>
      <c r="AE3765" s="304"/>
    </row>
    <row r="3766" spans="28:31" ht="12">
      <c r="AB3766" s="304"/>
      <c r="AC3766" s="304"/>
      <c r="AD3766" s="304"/>
      <c r="AE3766" s="304"/>
    </row>
    <row r="3767" spans="28:31" ht="12">
      <c r="AB3767" s="304"/>
      <c r="AC3767" s="304"/>
      <c r="AD3767" s="304"/>
      <c r="AE3767" s="304"/>
    </row>
    <row r="3768" spans="28:31" ht="12">
      <c r="AB3768" s="304"/>
      <c r="AC3768" s="304"/>
      <c r="AD3768" s="304"/>
      <c r="AE3768" s="304"/>
    </row>
    <row r="3769" spans="28:31" ht="12">
      <c r="AB3769" s="304"/>
      <c r="AC3769" s="304"/>
      <c r="AD3769" s="304"/>
      <c r="AE3769" s="304"/>
    </row>
    <row r="3770" spans="28:31" ht="12">
      <c r="AB3770" s="304"/>
      <c r="AC3770" s="304"/>
      <c r="AD3770" s="304"/>
      <c r="AE3770" s="304"/>
    </row>
    <row r="3771" spans="28:31" ht="12">
      <c r="AB3771" s="304"/>
      <c r="AC3771" s="304"/>
      <c r="AD3771" s="304"/>
      <c r="AE3771" s="304"/>
    </row>
    <row r="3772" spans="28:31" ht="12">
      <c r="AB3772" s="304"/>
      <c r="AC3772" s="304"/>
      <c r="AD3772" s="304"/>
      <c r="AE3772" s="304"/>
    </row>
    <row r="3773" spans="28:31" ht="12">
      <c r="AB3773" s="304"/>
      <c r="AC3773" s="304"/>
      <c r="AD3773" s="304"/>
      <c r="AE3773" s="304"/>
    </row>
    <row r="3774" spans="28:31" ht="12">
      <c r="AB3774" s="304"/>
      <c r="AC3774" s="304"/>
      <c r="AD3774" s="304"/>
      <c r="AE3774" s="304"/>
    </row>
    <row r="3775" spans="28:31" ht="12">
      <c r="AB3775" s="304"/>
      <c r="AC3775" s="304"/>
      <c r="AD3775" s="304"/>
      <c r="AE3775" s="304"/>
    </row>
    <row r="3776" spans="28:31" ht="12">
      <c r="AB3776" s="304"/>
      <c r="AC3776" s="304"/>
      <c r="AD3776" s="304"/>
      <c r="AE3776" s="304"/>
    </row>
    <row r="3777" spans="28:31" ht="12">
      <c r="AB3777" s="304"/>
      <c r="AC3777" s="304"/>
      <c r="AD3777" s="304"/>
      <c r="AE3777" s="304"/>
    </row>
    <row r="3778" spans="28:31" ht="12">
      <c r="AB3778" s="304"/>
      <c r="AC3778" s="304"/>
      <c r="AD3778" s="304"/>
      <c r="AE3778" s="304"/>
    </row>
    <row r="3779" spans="28:31" ht="12">
      <c r="AB3779" s="304"/>
      <c r="AC3779" s="304"/>
      <c r="AD3779" s="304"/>
      <c r="AE3779" s="304"/>
    </row>
    <row r="3780" spans="28:31" ht="12">
      <c r="AB3780" s="304"/>
      <c r="AC3780" s="304"/>
      <c r="AD3780" s="304"/>
      <c r="AE3780" s="304"/>
    </row>
    <row r="3781" spans="28:31" ht="12">
      <c r="AB3781" s="304"/>
      <c r="AC3781" s="304"/>
      <c r="AD3781" s="304"/>
      <c r="AE3781" s="304"/>
    </row>
    <row r="3782" spans="28:31" ht="12">
      <c r="AB3782" s="304"/>
      <c r="AC3782" s="304"/>
      <c r="AD3782" s="304"/>
      <c r="AE3782" s="304"/>
    </row>
    <row r="3783" spans="28:31" ht="12">
      <c r="AB3783" s="304"/>
      <c r="AC3783" s="304"/>
      <c r="AD3783" s="304"/>
      <c r="AE3783" s="304"/>
    </row>
    <row r="3784" spans="28:31" ht="12">
      <c r="AB3784" s="304"/>
      <c r="AC3784" s="304"/>
      <c r="AD3784" s="304"/>
      <c r="AE3784" s="304"/>
    </row>
    <row r="3785" spans="28:31" ht="12">
      <c r="AB3785" s="304"/>
      <c r="AC3785" s="304"/>
      <c r="AD3785" s="304"/>
      <c r="AE3785" s="304"/>
    </row>
    <row r="3786" spans="28:31" ht="12">
      <c r="AB3786" s="304"/>
      <c r="AC3786" s="304"/>
      <c r="AD3786" s="304"/>
      <c r="AE3786" s="304"/>
    </row>
    <row r="3787" spans="28:31" ht="12">
      <c r="AB3787" s="304"/>
      <c r="AC3787" s="304"/>
      <c r="AD3787" s="304"/>
      <c r="AE3787" s="304"/>
    </row>
    <row r="3788" spans="28:31" ht="12">
      <c r="AB3788" s="304"/>
      <c r="AC3788" s="304"/>
      <c r="AD3788" s="304"/>
      <c r="AE3788" s="304"/>
    </row>
    <row r="3789" spans="28:31" ht="12">
      <c r="AB3789" s="304"/>
      <c r="AC3789" s="304"/>
      <c r="AD3789" s="304"/>
      <c r="AE3789" s="304"/>
    </row>
    <row r="3790" spans="28:31" ht="12">
      <c r="AB3790" s="304"/>
      <c r="AC3790" s="304"/>
      <c r="AD3790" s="304"/>
      <c r="AE3790" s="304"/>
    </row>
    <row r="3791" spans="28:31" ht="12">
      <c r="AB3791" s="304"/>
      <c r="AC3791" s="304"/>
      <c r="AD3791" s="304"/>
      <c r="AE3791" s="304"/>
    </row>
    <row r="3792" spans="28:31" ht="12">
      <c r="AB3792" s="304"/>
      <c r="AC3792" s="304"/>
      <c r="AD3792" s="304"/>
      <c r="AE3792" s="304"/>
    </row>
    <row r="3793" spans="28:31" ht="12">
      <c r="AB3793" s="304"/>
      <c r="AC3793" s="304"/>
      <c r="AD3793" s="304"/>
      <c r="AE3793" s="304"/>
    </row>
    <row r="3794" spans="28:31" ht="12">
      <c r="AB3794" s="304"/>
      <c r="AC3794" s="304"/>
      <c r="AD3794" s="304"/>
      <c r="AE3794" s="304"/>
    </row>
    <row r="3795" spans="28:31" ht="12">
      <c r="AB3795" s="304"/>
      <c r="AC3795" s="304"/>
      <c r="AD3795" s="304"/>
      <c r="AE3795" s="304"/>
    </row>
    <row r="3796" spans="28:31" ht="12">
      <c r="AB3796" s="304"/>
      <c r="AC3796" s="304"/>
      <c r="AD3796" s="304"/>
      <c r="AE3796" s="304"/>
    </row>
    <row r="3797" spans="28:31" ht="12">
      <c r="AB3797" s="304"/>
      <c r="AC3797" s="304"/>
      <c r="AD3797" s="304"/>
      <c r="AE3797" s="304"/>
    </row>
    <row r="3798" spans="28:31" ht="12">
      <c r="AB3798" s="304"/>
      <c r="AC3798" s="304"/>
      <c r="AD3798" s="304"/>
      <c r="AE3798" s="304"/>
    </row>
    <row r="3799" spans="28:31" ht="12">
      <c r="AB3799" s="304"/>
      <c r="AC3799" s="304"/>
      <c r="AD3799" s="304"/>
      <c r="AE3799" s="304"/>
    </row>
    <row r="3800" spans="28:31" ht="12">
      <c r="AB3800" s="304"/>
      <c r="AC3800" s="304"/>
      <c r="AD3800" s="304"/>
      <c r="AE3800" s="304"/>
    </row>
    <row r="3801" spans="28:31" ht="12">
      <c r="AB3801" s="304"/>
      <c r="AC3801" s="304"/>
      <c r="AD3801" s="304"/>
      <c r="AE3801" s="304"/>
    </row>
    <row r="3802" spans="28:31" ht="12">
      <c r="AB3802" s="304"/>
      <c r="AC3802" s="304"/>
      <c r="AD3802" s="304"/>
      <c r="AE3802" s="304"/>
    </row>
    <row r="3803" spans="28:31" ht="12">
      <c r="AB3803" s="304"/>
      <c r="AC3803" s="304"/>
      <c r="AD3803" s="304"/>
      <c r="AE3803" s="304"/>
    </row>
    <row r="3804" spans="28:31" ht="12">
      <c r="AB3804" s="304"/>
      <c r="AC3804" s="304"/>
      <c r="AD3804" s="304"/>
      <c r="AE3804" s="304"/>
    </row>
    <row r="3805" spans="28:31" ht="12">
      <c r="AB3805" s="304"/>
      <c r="AC3805" s="304"/>
      <c r="AD3805" s="304"/>
      <c r="AE3805" s="304"/>
    </row>
    <row r="3806" spans="28:31" ht="12">
      <c r="AB3806" s="304"/>
      <c r="AC3806" s="304"/>
      <c r="AD3806" s="304"/>
      <c r="AE3806" s="304"/>
    </row>
    <row r="3807" spans="28:31" ht="12">
      <c r="AB3807" s="304"/>
      <c r="AC3807" s="304"/>
      <c r="AD3807" s="304"/>
      <c r="AE3807" s="304"/>
    </row>
    <row r="3808" spans="28:31" ht="12">
      <c r="AB3808" s="304"/>
      <c r="AC3808" s="304"/>
      <c r="AD3808" s="304"/>
      <c r="AE3808" s="304"/>
    </row>
    <row r="3809" spans="28:31" ht="12">
      <c r="AB3809" s="304"/>
      <c r="AC3809" s="304"/>
      <c r="AD3809" s="304"/>
      <c r="AE3809" s="304"/>
    </row>
    <row r="3810" spans="28:31" ht="12">
      <c r="AB3810" s="304"/>
      <c r="AC3810" s="304"/>
      <c r="AD3810" s="304"/>
      <c r="AE3810" s="304"/>
    </row>
    <row r="3811" spans="28:31" ht="12">
      <c r="AB3811" s="304"/>
      <c r="AC3811" s="304"/>
      <c r="AD3811" s="304"/>
      <c r="AE3811" s="304"/>
    </row>
    <row r="3812" spans="28:31" ht="12">
      <c r="AB3812" s="304"/>
      <c r="AC3812" s="304"/>
      <c r="AD3812" s="304"/>
      <c r="AE3812" s="304"/>
    </row>
    <row r="3813" spans="28:31" ht="12">
      <c r="AB3813" s="304"/>
      <c r="AC3813" s="304"/>
      <c r="AD3813" s="304"/>
      <c r="AE3813" s="304"/>
    </row>
    <row r="3814" spans="28:31" ht="12">
      <c r="AB3814" s="304"/>
      <c r="AC3814" s="304"/>
      <c r="AD3814" s="304"/>
      <c r="AE3814" s="304"/>
    </row>
    <row r="3815" spans="28:31" ht="12">
      <c r="AB3815" s="304"/>
      <c r="AC3815" s="304"/>
      <c r="AD3815" s="304"/>
      <c r="AE3815" s="304"/>
    </row>
    <row r="3816" spans="28:31" ht="12">
      <c r="AB3816" s="304"/>
      <c r="AC3816" s="304"/>
      <c r="AD3816" s="304"/>
      <c r="AE3816" s="304"/>
    </row>
    <row r="3817" spans="28:31" ht="12">
      <c r="AB3817" s="304"/>
      <c r="AC3817" s="304"/>
      <c r="AD3817" s="304"/>
      <c r="AE3817" s="304"/>
    </row>
    <row r="3818" spans="28:31" ht="12">
      <c r="AB3818" s="304"/>
      <c r="AC3818" s="304"/>
      <c r="AD3818" s="304"/>
      <c r="AE3818" s="304"/>
    </row>
    <row r="3819" spans="28:31" ht="12">
      <c r="AB3819" s="304"/>
      <c r="AC3819" s="304"/>
      <c r="AD3819" s="304"/>
      <c r="AE3819" s="304"/>
    </row>
    <row r="3820" spans="28:31" ht="12">
      <c r="AB3820" s="304"/>
      <c r="AC3820" s="304"/>
      <c r="AD3820" s="304"/>
      <c r="AE3820" s="304"/>
    </row>
    <row r="3821" spans="28:31" ht="12">
      <c r="AB3821" s="304"/>
      <c r="AC3821" s="304"/>
      <c r="AD3821" s="304"/>
      <c r="AE3821" s="304"/>
    </row>
    <row r="3822" spans="28:31" ht="12">
      <c r="AB3822" s="304"/>
      <c r="AC3822" s="304"/>
      <c r="AD3822" s="304"/>
      <c r="AE3822" s="304"/>
    </row>
    <row r="3823" spans="28:31" ht="12">
      <c r="AB3823" s="304"/>
      <c r="AC3823" s="304"/>
      <c r="AD3823" s="304"/>
      <c r="AE3823" s="304"/>
    </row>
    <row r="3824" spans="28:31" ht="12">
      <c r="AB3824" s="304"/>
      <c r="AC3824" s="304"/>
      <c r="AD3824" s="304"/>
      <c r="AE3824" s="304"/>
    </row>
    <row r="3825" spans="28:31" ht="12">
      <c r="AB3825" s="304"/>
      <c r="AC3825" s="304"/>
      <c r="AD3825" s="304"/>
      <c r="AE3825" s="304"/>
    </row>
    <row r="3826" spans="28:31" ht="12">
      <c r="AB3826" s="304"/>
      <c r="AC3826" s="304"/>
      <c r="AD3826" s="304"/>
      <c r="AE3826" s="304"/>
    </row>
    <row r="3827" spans="28:31" ht="12">
      <c r="AB3827" s="304"/>
      <c r="AC3827" s="304"/>
      <c r="AD3827" s="304"/>
      <c r="AE3827" s="304"/>
    </row>
    <row r="3828" spans="28:31" ht="12">
      <c r="AB3828" s="304"/>
      <c r="AC3828" s="304"/>
      <c r="AD3828" s="304"/>
      <c r="AE3828" s="304"/>
    </row>
    <row r="3829" spans="28:31" ht="12">
      <c r="AB3829" s="304"/>
      <c r="AC3829" s="304"/>
      <c r="AD3829" s="304"/>
      <c r="AE3829" s="304"/>
    </row>
    <row r="3830" spans="28:31" ht="12">
      <c r="AB3830" s="304"/>
      <c r="AC3830" s="304"/>
      <c r="AD3830" s="304"/>
      <c r="AE3830" s="304"/>
    </row>
    <row r="3831" spans="28:31" ht="12">
      <c r="AB3831" s="304"/>
      <c r="AC3831" s="304"/>
      <c r="AD3831" s="304"/>
      <c r="AE3831" s="304"/>
    </row>
    <row r="3832" spans="28:31" ht="12">
      <c r="AB3832" s="304"/>
      <c r="AC3832" s="304"/>
      <c r="AD3832" s="304"/>
      <c r="AE3832" s="304"/>
    </row>
    <row r="3833" spans="28:31" ht="12">
      <c r="AB3833" s="304"/>
      <c r="AC3833" s="304"/>
      <c r="AD3833" s="304"/>
      <c r="AE3833" s="304"/>
    </row>
    <row r="3834" spans="28:31" ht="12">
      <c r="AB3834" s="304"/>
      <c r="AC3834" s="304"/>
      <c r="AD3834" s="304"/>
      <c r="AE3834" s="304"/>
    </row>
    <row r="3835" spans="28:31" ht="12">
      <c r="AB3835" s="304"/>
      <c r="AC3835" s="304"/>
      <c r="AD3835" s="304"/>
      <c r="AE3835" s="304"/>
    </row>
    <row r="3836" spans="28:31" ht="12">
      <c r="AB3836" s="304"/>
      <c r="AC3836" s="304"/>
      <c r="AD3836" s="304"/>
      <c r="AE3836" s="304"/>
    </row>
    <row r="3837" spans="28:31" ht="12">
      <c r="AB3837" s="304"/>
      <c r="AC3837" s="304"/>
      <c r="AD3837" s="304"/>
      <c r="AE3837" s="304"/>
    </row>
    <row r="3838" spans="28:31" ht="12">
      <c r="AB3838" s="304"/>
      <c r="AC3838" s="304"/>
      <c r="AD3838" s="304"/>
      <c r="AE3838" s="304"/>
    </row>
    <row r="3839" spans="28:31" ht="12">
      <c r="AB3839" s="304"/>
      <c r="AC3839" s="304"/>
      <c r="AD3839" s="304"/>
      <c r="AE3839" s="304"/>
    </row>
    <row r="3840" spans="28:31" ht="12">
      <c r="AB3840" s="304"/>
      <c r="AC3840" s="304"/>
      <c r="AD3840" s="304"/>
      <c r="AE3840" s="304"/>
    </row>
    <row r="3841" spans="28:31" ht="12">
      <c r="AB3841" s="304"/>
      <c r="AC3841" s="304"/>
      <c r="AD3841" s="304"/>
      <c r="AE3841" s="304"/>
    </row>
    <row r="3842" spans="28:31" ht="12">
      <c r="AB3842" s="304"/>
      <c r="AC3842" s="304"/>
      <c r="AD3842" s="304"/>
      <c r="AE3842" s="304"/>
    </row>
    <row r="3843" spans="28:31" ht="12">
      <c r="AB3843" s="304"/>
      <c r="AC3843" s="304"/>
      <c r="AD3843" s="304"/>
      <c r="AE3843" s="304"/>
    </row>
    <row r="3844" spans="28:31" ht="12">
      <c r="AB3844" s="304"/>
      <c r="AC3844" s="304"/>
      <c r="AD3844" s="304"/>
      <c r="AE3844" s="304"/>
    </row>
    <row r="3845" spans="28:31" ht="12">
      <c r="AB3845" s="304"/>
      <c r="AC3845" s="304"/>
      <c r="AD3845" s="304"/>
      <c r="AE3845" s="304"/>
    </row>
    <row r="3846" spans="28:31" ht="12">
      <c r="AB3846" s="304"/>
      <c r="AC3846" s="304"/>
      <c r="AD3846" s="304"/>
      <c r="AE3846" s="304"/>
    </row>
    <row r="3847" spans="28:31" ht="12">
      <c r="AB3847" s="304"/>
      <c r="AC3847" s="304"/>
      <c r="AD3847" s="304"/>
      <c r="AE3847" s="304"/>
    </row>
    <row r="3848" spans="28:31" ht="12">
      <c r="AB3848" s="304"/>
      <c r="AC3848" s="304"/>
      <c r="AD3848" s="304"/>
      <c r="AE3848" s="304"/>
    </row>
    <row r="3849" spans="28:31" ht="12">
      <c r="AB3849" s="304"/>
      <c r="AC3849" s="304"/>
      <c r="AD3849" s="304"/>
      <c r="AE3849" s="304"/>
    </row>
    <row r="3850" spans="28:31" ht="12">
      <c r="AB3850" s="304"/>
      <c r="AC3850" s="304"/>
      <c r="AD3850" s="304"/>
      <c r="AE3850" s="304"/>
    </row>
    <row r="3851" spans="28:31" ht="12">
      <c r="AB3851" s="304"/>
      <c r="AC3851" s="304"/>
      <c r="AD3851" s="304"/>
      <c r="AE3851" s="304"/>
    </row>
    <row r="3852" spans="28:31" ht="12">
      <c r="AB3852" s="304"/>
      <c r="AC3852" s="304"/>
      <c r="AD3852" s="304"/>
      <c r="AE3852" s="304"/>
    </row>
    <row r="3853" spans="28:31" ht="12">
      <c r="AB3853" s="304"/>
      <c r="AC3853" s="304"/>
      <c r="AD3853" s="304"/>
      <c r="AE3853" s="304"/>
    </row>
    <row r="3854" spans="28:31" ht="12">
      <c r="AB3854" s="304"/>
      <c r="AC3854" s="304"/>
      <c r="AD3854" s="304"/>
      <c r="AE3854" s="304"/>
    </row>
    <row r="3855" spans="28:31" ht="12">
      <c r="AB3855" s="304"/>
      <c r="AC3855" s="304"/>
      <c r="AD3855" s="304"/>
      <c r="AE3855" s="304"/>
    </row>
    <row r="3856" spans="28:31" ht="12">
      <c r="AB3856" s="304"/>
      <c r="AC3856" s="304"/>
      <c r="AD3856" s="304"/>
      <c r="AE3856" s="304"/>
    </row>
    <row r="3857" spans="28:31" ht="12">
      <c r="AB3857" s="304"/>
      <c r="AC3857" s="304"/>
      <c r="AD3857" s="304"/>
      <c r="AE3857" s="304"/>
    </row>
    <row r="3858" spans="28:31" ht="12">
      <c r="AB3858" s="304"/>
      <c r="AC3858" s="304"/>
      <c r="AD3858" s="304"/>
      <c r="AE3858" s="304"/>
    </row>
    <row r="3859" spans="28:31" ht="12">
      <c r="AB3859" s="304"/>
      <c r="AC3859" s="304"/>
      <c r="AD3859" s="304"/>
      <c r="AE3859" s="304"/>
    </row>
    <row r="3860" spans="28:31" ht="12">
      <c r="AB3860" s="304"/>
      <c r="AC3860" s="304"/>
      <c r="AD3860" s="304"/>
      <c r="AE3860" s="304"/>
    </row>
    <row r="3861" spans="28:31" ht="12">
      <c r="AB3861" s="304"/>
      <c r="AC3861" s="304"/>
      <c r="AD3861" s="304"/>
      <c r="AE3861" s="304"/>
    </row>
    <row r="3862" spans="28:31" ht="12">
      <c r="AB3862" s="304"/>
      <c r="AC3862" s="304"/>
      <c r="AD3862" s="304"/>
      <c r="AE3862" s="304"/>
    </row>
    <row r="3863" spans="28:31" ht="12">
      <c r="AB3863" s="304"/>
      <c r="AC3863" s="304"/>
      <c r="AD3863" s="304"/>
      <c r="AE3863" s="304"/>
    </row>
    <row r="3864" spans="28:31" ht="12">
      <c r="AB3864" s="304"/>
      <c r="AC3864" s="304"/>
      <c r="AD3864" s="304"/>
      <c r="AE3864" s="304"/>
    </row>
    <row r="3865" spans="28:31" ht="12">
      <c r="AB3865" s="304"/>
      <c r="AC3865" s="304"/>
      <c r="AD3865" s="304"/>
      <c r="AE3865" s="304"/>
    </row>
    <row r="3866" spans="28:31" ht="12">
      <c r="AB3866" s="304"/>
      <c r="AC3866" s="304"/>
      <c r="AD3866" s="304"/>
      <c r="AE3866" s="304"/>
    </row>
    <row r="3867" spans="28:31" ht="12">
      <c r="AB3867" s="304"/>
      <c r="AC3867" s="304"/>
      <c r="AD3867" s="304"/>
      <c r="AE3867" s="304"/>
    </row>
    <row r="3868" spans="28:31" ht="12">
      <c r="AB3868" s="304"/>
      <c r="AC3868" s="304"/>
      <c r="AD3868" s="304"/>
      <c r="AE3868" s="304"/>
    </row>
    <row r="3869" spans="28:31" ht="12">
      <c r="AB3869" s="304"/>
      <c r="AC3869" s="304"/>
      <c r="AD3869" s="304"/>
      <c r="AE3869" s="304"/>
    </row>
    <row r="3870" spans="28:31" ht="12">
      <c r="AB3870" s="304"/>
      <c r="AC3870" s="304"/>
      <c r="AD3870" s="304"/>
      <c r="AE3870" s="304"/>
    </row>
    <row r="3871" spans="28:31" ht="12">
      <c r="AB3871" s="304"/>
      <c r="AC3871" s="304"/>
      <c r="AD3871" s="304"/>
      <c r="AE3871" s="304"/>
    </row>
    <row r="3872" spans="28:31" ht="12">
      <c r="AB3872" s="304"/>
      <c r="AC3872" s="304"/>
      <c r="AD3872" s="304"/>
      <c r="AE3872" s="304"/>
    </row>
    <row r="3873" spans="28:31" ht="12">
      <c r="AB3873" s="304"/>
      <c r="AC3873" s="304"/>
      <c r="AD3873" s="304"/>
      <c r="AE3873" s="304"/>
    </row>
    <row r="3874" spans="28:31" ht="12">
      <c r="AB3874" s="304"/>
      <c r="AC3874" s="304"/>
      <c r="AD3874" s="304"/>
      <c r="AE3874" s="304"/>
    </row>
    <row r="3875" spans="28:31" ht="12">
      <c r="AB3875" s="304"/>
      <c r="AC3875" s="304"/>
      <c r="AD3875" s="304"/>
      <c r="AE3875" s="304"/>
    </row>
    <row r="3876" spans="28:31" ht="12">
      <c r="AB3876" s="304"/>
      <c r="AC3876" s="304"/>
      <c r="AD3876" s="304"/>
      <c r="AE3876" s="304"/>
    </row>
    <row r="3877" spans="28:31" ht="12">
      <c r="AB3877" s="304"/>
      <c r="AC3877" s="304"/>
      <c r="AD3877" s="304"/>
      <c r="AE3877" s="304"/>
    </row>
    <row r="3878" spans="28:31" ht="12">
      <c r="AB3878" s="304"/>
      <c r="AC3878" s="304"/>
      <c r="AD3878" s="304"/>
      <c r="AE3878" s="304"/>
    </row>
    <row r="3879" spans="28:31" ht="12">
      <c r="AB3879" s="304"/>
      <c r="AC3879" s="304"/>
      <c r="AD3879" s="304"/>
      <c r="AE3879" s="304"/>
    </row>
    <row r="3880" spans="28:31" ht="12">
      <c r="AB3880" s="304"/>
      <c r="AC3880" s="304"/>
      <c r="AD3880" s="304"/>
      <c r="AE3880" s="304"/>
    </row>
    <row r="3881" spans="28:31" ht="12">
      <c r="AB3881" s="304"/>
      <c r="AC3881" s="304"/>
      <c r="AD3881" s="304"/>
      <c r="AE3881" s="304"/>
    </row>
    <row r="3882" spans="28:31" ht="12">
      <c r="AB3882" s="304"/>
      <c r="AC3882" s="304"/>
      <c r="AD3882" s="304"/>
      <c r="AE3882" s="304"/>
    </row>
    <row r="3883" spans="28:31" ht="12">
      <c r="AB3883" s="304"/>
      <c r="AC3883" s="304"/>
      <c r="AD3883" s="304"/>
      <c r="AE3883" s="304"/>
    </row>
    <row r="3884" spans="28:31" ht="12">
      <c r="AB3884" s="304"/>
      <c r="AC3884" s="304"/>
      <c r="AD3884" s="304"/>
      <c r="AE3884" s="304"/>
    </row>
    <row r="3885" spans="28:31" ht="12">
      <c r="AB3885" s="304"/>
      <c r="AC3885" s="304"/>
      <c r="AD3885" s="304"/>
      <c r="AE3885" s="304"/>
    </row>
    <row r="3886" spans="28:31" ht="12">
      <c r="AB3886" s="304"/>
      <c r="AC3886" s="304"/>
      <c r="AD3886" s="304"/>
      <c r="AE3886" s="304"/>
    </row>
    <row r="3887" spans="28:31" ht="12">
      <c r="AB3887" s="304"/>
      <c r="AC3887" s="304"/>
      <c r="AD3887" s="304"/>
      <c r="AE3887" s="304"/>
    </row>
    <row r="3888" spans="28:31" ht="12">
      <c r="AB3888" s="304"/>
      <c r="AC3888" s="304"/>
      <c r="AD3888" s="304"/>
      <c r="AE3888" s="304"/>
    </row>
    <row r="3889" spans="28:31" ht="12">
      <c r="AB3889" s="304"/>
      <c r="AC3889" s="304"/>
      <c r="AD3889" s="304"/>
      <c r="AE3889" s="304"/>
    </row>
    <row r="3890" spans="28:31" ht="12">
      <c r="AB3890" s="304"/>
      <c r="AC3890" s="304"/>
      <c r="AD3890" s="304"/>
      <c r="AE3890" s="304"/>
    </row>
    <row r="3891" spans="28:31" ht="12">
      <c r="AB3891" s="304"/>
      <c r="AC3891" s="304"/>
      <c r="AD3891" s="304"/>
      <c r="AE3891" s="304"/>
    </row>
    <row r="3892" spans="28:31" ht="12">
      <c r="AB3892" s="304"/>
      <c r="AC3892" s="304"/>
      <c r="AD3892" s="304"/>
      <c r="AE3892" s="304"/>
    </row>
    <row r="3893" spans="28:31" ht="12">
      <c r="AB3893" s="304"/>
      <c r="AC3893" s="304"/>
      <c r="AD3893" s="304"/>
      <c r="AE3893" s="304"/>
    </row>
    <row r="3894" spans="28:31" ht="12">
      <c r="AB3894" s="304"/>
      <c r="AC3894" s="304"/>
      <c r="AD3894" s="304"/>
      <c r="AE3894" s="304"/>
    </row>
    <row r="3895" spans="28:31" ht="12">
      <c r="AB3895" s="304"/>
      <c r="AC3895" s="304"/>
      <c r="AD3895" s="304"/>
      <c r="AE3895" s="304"/>
    </row>
    <row r="3896" spans="28:31" ht="12">
      <c r="AB3896" s="304"/>
      <c r="AC3896" s="304"/>
      <c r="AD3896" s="304"/>
      <c r="AE3896" s="304"/>
    </row>
    <row r="3897" spans="28:31" ht="12">
      <c r="AB3897" s="304"/>
      <c r="AC3897" s="304"/>
      <c r="AD3897" s="304"/>
      <c r="AE3897" s="304"/>
    </row>
    <row r="3898" spans="28:31" ht="12">
      <c r="AB3898" s="304"/>
      <c r="AC3898" s="304"/>
      <c r="AD3898" s="304"/>
      <c r="AE3898" s="304"/>
    </row>
    <row r="3899" spans="28:31" ht="12">
      <c r="AB3899" s="304"/>
      <c r="AC3899" s="304"/>
      <c r="AD3899" s="304"/>
      <c r="AE3899" s="304"/>
    </row>
    <row r="3900" spans="28:31" ht="12">
      <c r="AB3900" s="304"/>
      <c r="AC3900" s="304"/>
      <c r="AD3900" s="304"/>
      <c r="AE3900" s="304"/>
    </row>
    <row r="3901" spans="28:31" ht="12">
      <c r="AB3901" s="304"/>
      <c r="AC3901" s="304"/>
      <c r="AD3901" s="304"/>
      <c r="AE3901" s="304"/>
    </row>
    <row r="3902" spans="28:31" ht="12">
      <c r="AB3902" s="304"/>
      <c r="AC3902" s="304"/>
      <c r="AD3902" s="304"/>
      <c r="AE3902" s="304"/>
    </row>
    <row r="3903" spans="28:31" ht="12">
      <c r="AB3903" s="304"/>
      <c r="AC3903" s="304"/>
      <c r="AD3903" s="304"/>
      <c r="AE3903" s="304"/>
    </row>
    <row r="3904" spans="28:31" ht="12">
      <c r="AB3904" s="304"/>
      <c r="AC3904" s="304"/>
      <c r="AD3904" s="304"/>
      <c r="AE3904" s="304"/>
    </row>
    <row r="3905" spans="28:31" ht="12">
      <c r="AB3905" s="304"/>
      <c r="AC3905" s="304"/>
      <c r="AD3905" s="304"/>
      <c r="AE3905" s="304"/>
    </row>
    <row r="3906" spans="28:31" ht="12">
      <c r="AB3906" s="304"/>
      <c r="AC3906" s="304"/>
      <c r="AD3906" s="304"/>
      <c r="AE3906" s="304"/>
    </row>
    <row r="3907" spans="28:31" ht="12">
      <c r="AB3907" s="304"/>
      <c r="AC3907" s="304"/>
      <c r="AD3907" s="304"/>
      <c r="AE3907" s="304"/>
    </row>
    <row r="3908" spans="28:31" ht="12">
      <c r="AB3908" s="304"/>
      <c r="AC3908" s="304"/>
      <c r="AD3908" s="304"/>
      <c r="AE3908" s="304"/>
    </row>
    <row r="3909" spans="28:31" ht="12">
      <c r="AB3909" s="304"/>
      <c r="AC3909" s="304"/>
      <c r="AD3909" s="304"/>
      <c r="AE3909" s="304"/>
    </row>
    <row r="3910" spans="28:31" ht="12">
      <c r="AB3910" s="304"/>
      <c r="AC3910" s="304"/>
      <c r="AD3910" s="304"/>
      <c r="AE3910" s="304"/>
    </row>
    <row r="3911" spans="28:31" ht="12">
      <c r="AB3911" s="304"/>
      <c r="AC3911" s="304"/>
      <c r="AD3911" s="304"/>
      <c r="AE3911" s="304"/>
    </row>
    <row r="3912" spans="28:31" ht="12">
      <c r="AB3912" s="304"/>
      <c r="AC3912" s="304"/>
      <c r="AD3912" s="304"/>
      <c r="AE3912" s="304"/>
    </row>
    <row r="3913" spans="28:31" ht="12">
      <c r="AB3913" s="304"/>
      <c r="AC3913" s="304"/>
      <c r="AD3913" s="304"/>
      <c r="AE3913" s="304"/>
    </row>
    <row r="3914" spans="28:31" ht="12">
      <c r="AB3914" s="304"/>
      <c r="AC3914" s="304"/>
      <c r="AD3914" s="304"/>
      <c r="AE3914" s="304"/>
    </row>
    <row r="3915" spans="28:31" ht="12">
      <c r="AB3915" s="304"/>
      <c r="AC3915" s="304"/>
      <c r="AD3915" s="304"/>
      <c r="AE3915" s="304"/>
    </row>
    <row r="3916" spans="28:31" ht="12">
      <c r="AB3916" s="304"/>
      <c r="AC3916" s="304"/>
      <c r="AD3916" s="304"/>
      <c r="AE3916" s="304"/>
    </row>
    <row r="3917" spans="28:31" ht="12">
      <c r="AB3917" s="304"/>
      <c r="AC3917" s="304"/>
      <c r="AD3917" s="304"/>
      <c r="AE3917" s="304"/>
    </row>
    <row r="3918" spans="28:31" ht="12">
      <c r="AB3918" s="304"/>
      <c r="AC3918" s="304"/>
      <c r="AD3918" s="304"/>
      <c r="AE3918" s="304"/>
    </row>
    <row r="3919" spans="28:31" ht="12">
      <c r="AB3919" s="304"/>
      <c r="AC3919" s="304"/>
      <c r="AD3919" s="304"/>
      <c r="AE3919" s="304"/>
    </row>
    <row r="3920" spans="28:31" ht="12">
      <c r="AB3920" s="304"/>
      <c r="AC3920" s="304"/>
      <c r="AD3920" s="304"/>
      <c r="AE3920" s="304"/>
    </row>
    <row r="3921" spans="28:31" ht="12">
      <c r="AB3921" s="304"/>
      <c r="AC3921" s="304"/>
      <c r="AD3921" s="304"/>
      <c r="AE3921" s="304"/>
    </row>
    <row r="3922" spans="28:31" ht="12">
      <c r="AB3922" s="304"/>
      <c r="AC3922" s="304"/>
      <c r="AD3922" s="304"/>
      <c r="AE3922" s="304"/>
    </row>
    <row r="3923" spans="28:31" ht="12">
      <c r="AB3923" s="304"/>
      <c r="AC3923" s="304"/>
      <c r="AD3923" s="304"/>
      <c r="AE3923" s="304"/>
    </row>
    <row r="3924" spans="28:31" ht="12">
      <c r="AB3924" s="304"/>
      <c r="AC3924" s="304"/>
      <c r="AD3924" s="304"/>
      <c r="AE3924" s="304"/>
    </row>
    <row r="3925" spans="28:31" ht="12">
      <c r="AB3925" s="304"/>
      <c r="AC3925" s="304"/>
      <c r="AD3925" s="304"/>
      <c r="AE3925" s="304"/>
    </row>
    <row r="3926" spans="28:31" ht="12">
      <c r="AB3926" s="304"/>
      <c r="AC3926" s="304"/>
      <c r="AD3926" s="304"/>
      <c r="AE3926" s="304"/>
    </row>
    <row r="3927" spans="28:31" ht="12">
      <c r="AB3927" s="304"/>
      <c r="AC3927" s="304"/>
      <c r="AD3927" s="304"/>
      <c r="AE3927" s="304"/>
    </row>
    <row r="3928" spans="28:31" ht="12">
      <c r="AB3928" s="304"/>
      <c r="AC3928" s="304"/>
      <c r="AD3928" s="304"/>
      <c r="AE3928" s="304"/>
    </row>
    <row r="3929" spans="28:31" ht="12">
      <c r="AB3929" s="304"/>
      <c r="AC3929" s="304"/>
      <c r="AD3929" s="304"/>
      <c r="AE3929" s="304"/>
    </row>
    <row r="3930" spans="28:31" ht="12">
      <c r="AB3930" s="304"/>
      <c r="AC3930" s="304"/>
      <c r="AD3930" s="304"/>
      <c r="AE3930" s="304"/>
    </row>
    <row r="3931" spans="28:31" ht="12">
      <c r="AB3931" s="304"/>
      <c r="AC3931" s="304"/>
      <c r="AD3931" s="304"/>
      <c r="AE3931" s="304"/>
    </row>
    <row r="3932" spans="28:31" ht="12">
      <c r="AB3932" s="304"/>
      <c r="AC3932" s="304"/>
      <c r="AD3932" s="304"/>
      <c r="AE3932" s="304"/>
    </row>
    <row r="3933" spans="28:31" ht="12">
      <c r="AB3933" s="304"/>
      <c r="AC3933" s="304"/>
      <c r="AD3933" s="304"/>
      <c r="AE3933" s="304"/>
    </row>
    <row r="3934" spans="28:31" ht="12">
      <c r="AB3934" s="304"/>
      <c r="AC3934" s="304"/>
      <c r="AD3934" s="304"/>
      <c r="AE3934" s="304"/>
    </row>
    <row r="3935" spans="28:31" ht="12">
      <c r="AB3935" s="304"/>
      <c r="AC3935" s="304"/>
      <c r="AD3935" s="304"/>
      <c r="AE3935" s="304"/>
    </row>
    <row r="3936" spans="28:31" ht="12">
      <c r="AB3936" s="304"/>
      <c r="AC3936" s="304"/>
      <c r="AD3936" s="304"/>
      <c r="AE3936" s="304"/>
    </row>
    <row r="3937" spans="28:31" ht="12">
      <c r="AB3937" s="304"/>
      <c r="AC3937" s="304"/>
      <c r="AD3937" s="304"/>
      <c r="AE3937" s="304"/>
    </row>
    <row r="3938" spans="28:31" ht="12">
      <c r="AB3938" s="304"/>
      <c r="AC3938" s="304"/>
      <c r="AD3938" s="304"/>
      <c r="AE3938" s="304"/>
    </row>
    <row r="3939" spans="28:31" ht="12">
      <c r="AB3939" s="304"/>
      <c r="AC3939" s="304"/>
      <c r="AD3939" s="304"/>
      <c r="AE3939" s="304"/>
    </row>
    <row r="3940" spans="28:31" ht="12">
      <c r="AB3940" s="304"/>
      <c r="AC3940" s="304"/>
      <c r="AD3940" s="304"/>
      <c r="AE3940" s="304"/>
    </row>
    <row r="3941" spans="28:31" ht="12">
      <c r="AB3941" s="304"/>
      <c r="AC3941" s="304"/>
      <c r="AD3941" s="304"/>
      <c r="AE3941" s="304"/>
    </row>
    <row r="3942" spans="28:31" ht="12">
      <c r="AB3942" s="304"/>
      <c r="AC3942" s="304"/>
      <c r="AD3942" s="304"/>
      <c r="AE3942" s="304"/>
    </row>
    <row r="3943" spans="28:31" ht="12">
      <c r="AB3943" s="304"/>
      <c r="AC3943" s="304"/>
      <c r="AD3943" s="304"/>
      <c r="AE3943" s="304"/>
    </row>
    <row r="3944" spans="28:31" ht="12">
      <c r="AB3944" s="304"/>
      <c r="AC3944" s="304"/>
      <c r="AD3944" s="304"/>
      <c r="AE3944" s="304"/>
    </row>
    <row r="3945" spans="28:31" ht="12">
      <c r="AB3945" s="304"/>
      <c r="AC3945" s="304"/>
      <c r="AD3945" s="304"/>
      <c r="AE3945" s="304"/>
    </row>
    <row r="3946" spans="28:31" ht="12">
      <c r="AB3946" s="304"/>
      <c r="AC3946" s="304"/>
      <c r="AD3946" s="304"/>
      <c r="AE3946" s="304"/>
    </row>
    <row r="3947" spans="28:31" ht="12">
      <c r="AB3947" s="304"/>
      <c r="AC3947" s="304"/>
      <c r="AD3947" s="304"/>
      <c r="AE3947" s="304"/>
    </row>
    <row r="3948" spans="28:31" ht="12">
      <c r="AB3948" s="304"/>
      <c r="AC3948" s="304"/>
      <c r="AD3948" s="304"/>
      <c r="AE3948" s="304"/>
    </row>
    <row r="3949" spans="28:31" ht="12">
      <c r="AB3949" s="304"/>
      <c r="AC3949" s="304"/>
      <c r="AD3949" s="304"/>
      <c r="AE3949" s="304"/>
    </row>
    <row r="3950" spans="28:31" ht="12">
      <c r="AB3950" s="304"/>
      <c r="AC3950" s="304"/>
      <c r="AD3950" s="304"/>
      <c r="AE3950" s="304"/>
    </row>
    <row r="3951" spans="28:31" ht="12">
      <c r="AB3951" s="304"/>
      <c r="AC3951" s="304"/>
      <c r="AD3951" s="304"/>
      <c r="AE3951" s="304"/>
    </row>
    <row r="3952" spans="28:31" ht="12">
      <c r="AB3952" s="304"/>
      <c r="AC3952" s="304"/>
      <c r="AD3952" s="304"/>
      <c r="AE3952" s="304"/>
    </row>
    <row r="3953" spans="28:31" ht="12">
      <c r="AB3953" s="304"/>
      <c r="AC3953" s="304"/>
      <c r="AD3953" s="304"/>
      <c r="AE3953" s="304"/>
    </row>
    <row r="3954" spans="28:31" ht="12">
      <c r="AB3954" s="304"/>
      <c r="AC3954" s="304"/>
      <c r="AD3954" s="304"/>
      <c r="AE3954" s="304"/>
    </row>
    <row r="3955" spans="28:31" ht="12">
      <c r="AB3955" s="304"/>
      <c r="AC3955" s="304"/>
      <c r="AD3955" s="304"/>
      <c r="AE3955" s="304"/>
    </row>
    <row r="3956" spans="28:31" ht="12">
      <c r="AB3956" s="304"/>
      <c r="AC3956" s="304"/>
      <c r="AD3956" s="304"/>
      <c r="AE3956" s="304"/>
    </row>
    <row r="3957" spans="28:31" ht="12">
      <c r="AB3957" s="304"/>
      <c r="AC3957" s="304"/>
      <c r="AD3957" s="304"/>
      <c r="AE3957" s="304"/>
    </row>
    <row r="3958" spans="28:31" ht="12">
      <c r="AB3958" s="304"/>
      <c r="AC3958" s="304"/>
      <c r="AD3958" s="304"/>
      <c r="AE3958" s="304"/>
    </row>
    <row r="3959" spans="28:31" ht="12">
      <c r="AB3959" s="304"/>
      <c r="AC3959" s="304"/>
      <c r="AD3959" s="304"/>
      <c r="AE3959" s="304"/>
    </row>
    <row r="3960" spans="28:31" ht="12">
      <c r="AB3960" s="304"/>
      <c r="AC3960" s="304"/>
      <c r="AD3960" s="304"/>
      <c r="AE3960" s="304"/>
    </row>
    <row r="3961" spans="28:31" ht="12">
      <c r="AB3961" s="304"/>
      <c r="AC3961" s="304"/>
      <c r="AD3961" s="304"/>
      <c r="AE3961" s="304"/>
    </row>
    <row r="3962" spans="28:31" ht="12">
      <c r="AB3962" s="304"/>
      <c r="AC3962" s="304"/>
      <c r="AD3962" s="304"/>
      <c r="AE3962" s="304"/>
    </row>
    <row r="3963" spans="28:31" ht="12">
      <c r="AB3963" s="304"/>
      <c r="AC3963" s="304"/>
      <c r="AD3963" s="304"/>
      <c r="AE3963" s="304"/>
    </row>
    <row r="3964" spans="28:31" ht="12">
      <c r="AB3964" s="304"/>
      <c r="AC3964" s="304"/>
      <c r="AD3964" s="304"/>
      <c r="AE3964" s="304"/>
    </row>
    <row r="3965" spans="28:31" ht="12">
      <c r="AB3965" s="304"/>
      <c r="AC3965" s="304"/>
      <c r="AD3965" s="304"/>
      <c r="AE3965" s="304"/>
    </row>
    <row r="3966" spans="28:31" ht="12">
      <c r="AB3966" s="304"/>
      <c r="AC3966" s="304"/>
      <c r="AD3966" s="304"/>
      <c r="AE3966" s="304"/>
    </row>
    <row r="3967" spans="28:31" ht="12">
      <c r="AB3967" s="304"/>
      <c r="AC3967" s="304"/>
      <c r="AD3967" s="304"/>
      <c r="AE3967" s="304"/>
    </row>
    <row r="3968" spans="28:31" ht="12">
      <c r="AB3968" s="304"/>
      <c r="AC3968" s="304"/>
      <c r="AD3968" s="304"/>
      <c r="AE3968" s="304"/>
    </row>
    <row r="3969" spans="28:31" ht="12">
      <c r="AB3969" s="304"/>
      <c r="AC3969" s="304"/>
      <c r="AD3969" s="304"/>
      <c r="AE3969" s="304"/>
    </row>
    <row r="3970" spans="28:31" ht="12">
      <c r="AB3970" s="304"/>
      <c r="AC3970" s="304"/>
      <c r="AD3970" s="304"/>
      <c r="AE3970" s="304"/>
    </row>
    <row r="3971" spans="28:31" ht="12">
      <c r="AB3971" s="304"/>
      <c r="AC3971" s="304"/>
      <c r="AD3971" s="304"/>
      <c r="AE3971" s="304"/>
    </row>
    <row r="3972" spans="28:31" ht="12">
      <c r="AB3972" s="304"/>
      <c r="AC3972" s="304"/>
      <c r="AD3972" s="304"/>
      <c r="AE3972" s="304"/>
    </row>
    <row r="3973" spans="28:31" ht="12">
      <c r="AB3973" s="304"/>
      <c r="AC3973" s="304"/>
      <c r="AD3973" s="304"/>
      <c r="AE3973" s="304"/>
    </row>
    <row r="3974" spans="28:31" ht="12">
      <c r="AB3974" s="304"/>
      <c r="AC3974" s="304"/>
      <c r="AD3974" s="304"/>
      <c r="AE3974" s="304"/>
    </row>
    <row r="3975" spans="28:31" ht="12">
      <c r="AB3975" s="304"/>
      <c r="AC3975" s="304"/>
      <c r="AD3975" s="304"/>
      <c r="AE3975" s="304"/>
    </row>
    <row r="3976" spans="28:31" ht="12">
      <c r="AB3976" s="304"/>
      <c r="AC3976" s="304"/>
      <c r="AD3976" s="304"/>
      <c r="AE3976" s="304"/>
    </row>
    <row r="3977" spans="28:31" ht="12">
      <c r="AB3977" s="304"/>
      <c r="AC3977" s="304"/>
      <c r="AD3977" s="304"/>
      <c r="AE3977" s="304"/>
    </row>
    <row r="3978" spans="28:31" ht="12">
      <c r="AB3978" s="304"/>
      <c r="AC3978" s="304"/>
      <c r="AD3978" s="304"/>
      <c r="AE3978" s="304"/>
    </row>
    <row r="3979" spans="28:31" ht="12">
      <c r="AB3979" s="304"/>
      <c r="AC3979" s="304"/>
      <c r="AD3979" s="304"/>
      <c r="AE3979" s="304"/>
    </row>
    <row r="3980" spans="28:31" ht="12">
      <c r="AB3980" s="304"/>
      <c r="AC3980" s="304"/>
      <c r="AD3980" s="304"/>
      <c r="AE3980" s="304"/>
    </row>
    <row r="3981" spans="28:31" ht="12">
      <c r="AB3981" s="304"/>
      <c r="AC3981" s="304"/>
      <c r="AD3981" s="304"/>
      <c r="AE3981" s="304"/>
    </row>
    <row r="3982" spans="28:31" ht="12">
      <c r="AB3982" s="304"/>
      <c r="AC3982" s="304"/>
      <c r="AD3982" s="304"/>
      <c r="AE3982" s="304"/>
    </row>
    <row r="3983" spans="28:31" ht="12">
      <c r="AB3983" s="304"/>
      <c r="AC3983" s="304"/>
      <c r="AD3983" s="304"/>
      <c r="AE3983" s="304"/>
    </row>
    <row r="3984" spans="28:31" ht="12">
      <c r="AB3984" s="304"/>
      <c r="AC3984" s="304"/>
      <c r="AD3984" s="304"/>
      <c r="AE3984" s="304"/>
    </row>
    <row r="3985" spans="28:31" ht="12">
      <c r="AB3985" s="304"/>
      <c r="AC3985" s="304"/>
      <c r="AD3985" s="304"/>
      <c r="AE3985" s="304"/>
    </row>
    <row r="3986" spans="28:31" ht="12">
      <c r="AB3986" s="304"/>
      <c r="AC3986" s="304"/>
      <c r="AD3986" s="304"/>
      <c r="AE3986" s="304"/>
    </row>
    <row r="3987" spans="28:31" ht="12">
      <c r="AB3987" s="304"/>
      <c r="AC3987" s="304"/>
      <c r="AD3987" s="304"/>
      <c r="AE3987" s="304"/>
    </row>
    <row r="3988" spans="28:31" ht="12">
      <c r="AB3988" s="304"/>
      <c r="AC3988" s="304"/>
      <c r="AD3988" s="304"/>
      <c r="AE3988" s="304"/>
    </row>
    <row r="3989" spans="28:31" ht="12">
      <c r="AB3989" s="304"/>
      <c r="AC3989" s="304"/>
      <c r="AD3989" s="304"/>
      <c r="AE3989" s="304"/>
    </row>
    <row r="3990" spans="28:31" ht="12">
      <c r="AB3990" s="304"/>
      <c r="AC3990" s="304"/>
      <c r="AD3990" s="304"/>
      <c r="AE3990" s="304"/>
    </row>
    <row r="3991" spans="28:31" ht="12">
      <c r="AB3991" s="304"/>
      <c r="AC3991" s="304"/>
      <c r="AD3991" s="304"/>
      <c r="AE3991" s="304"/>
    </row>
    <row r="3992" spans="28:31" ht="12">
      <c r="AB3992" s="304"/>
      <c r="AC3992" s="304"/>
      <c r="AD3992" s="304"/>
      <c r="AE3992" s="304"/>
    </row>
    <row r="3993" spans="28:31" ht="12">
      <c r="AB3993" s="304"/>
      <c r="AC3993" s="304"/>
      <c r="AD3993" s="304"/>
      <c r="AE3993" s="304"/>
    </row>
    <row r="3994" spans="28:31" ht="12">
      <c r="AB3994" s="304"/>
      <c r="AC3994" s="304"/>
      <c r="AD3994" s="304"/>
      <c r="AE3994" s="304"/>
    </row>
    <row r="3995" spans="28:31" ht="12">
      <c r="AB3995" s="304"/>
      <c r="AC3995" s="304"/>
      <c r="AD3995" s="304"/>
      <c r="AE3995" s="304"/>
    </row>
    <row r="3996" spans="28:31" ht="12">
      <c r="AB3996" s="304"/>
      <c r="AC3996" s="304"/>
      <c r="AD3996" s="304"/>
      <c r="AE3996" s="304"/>
    </row>
    <row r="3997" spans="28:31" ht="12">
      <c r="AB3997" s="304"/>
      <c r="AC3997" s="304"/>
      <c r="AD3997" s="304"/>
      <c r="AE3997" s="304"/>
    </row>
    <row r="3998" spans="28:31" ht="12">
      <c r="AB3998" s="304"/>
      <c r="AC3998" s="304"/>
      <c r="AD3998" s="304"/>
      <c r="AE3998" s="304"/>
    </row>
    <row r="3999" spans="28:31" ht="12">
      <c r="AB3999" s="304"/>
      <c r="AC3999" s="304"/>
      <c r="AD3999" s="304"/>
      <c r="AE3999" s="304"/>
    </row>
    <row r="4000" spans="28:31" ht="12">
      <c r="AB4000" s="304"/>
      <c r="AC4000" s="304"/>
      <c r="AD4000" s="304"/>
      <c r="AE4000" s="304"/>
    </row>
    <row r="4001" spans="28:31" ht="12">
      <c r="AB4001" s="304"/>
      <c r="AC4001" s="304"/>
      <c r="AD4001" s="304"/>
      <c r="AE4001" s="304"/>
    </row>
    <row r="4002" spans="28:31" ht="12">
      <c r="AB4002" s="304"/>
      <c r="AC4002" s="304"/>
      <c r="AD4002" s="304"/>
      <c r="AE4002" s="304"/>
    </row>
    <row r="4003" spans="28:31" ht="12">
      <c r="AB4003" s="304"/>
      <c r="AC4003" s="304"/>
      <c r="AD4003" s="304"/>
      <c r="AE4003" s="304"/>
    </row>
    <row r="4004" spans="28:31" ht="12">
      <c r="AB4004" s="304"/>
      <c r="AC4004" s="304"/>
      <c r="AD4004" s="304"/>
      <c r="AE4004" s="304"/>
    </row>
    <row r="4005" spans="28:31" ht="12">
      <c r="AB4005" s="304"/>
      <c r="AC4005" s="304"/>
      <c r="AD4005" s="304"/>
      <c r="AE4005" s="304"/>
    </row>
    <row r="4006" spans="28:31" ht="12">
      <c r="AB4006" s="304"/>
      <c r="AC4006" s="304"/>
      <c r="AD4006" s="304"/>
      <c r="AE4006" s="304"/>
    </row>
    <row r="4007" spans="28:31" ht="12">
      <c r="AB4007" s="304"/>
      <c r="AC4007" s="304"/>
      <c r="AD4007" s="304"/>
      <c r="AE4007" s="304"/>
    </row>
    <row r="4008" spans="28:31" ht="12">
      <c r="AB4008" s="304"/>
      <c r="AC4008" s="304"/>
      <c r="AD4008" s="304"/>
      <c r="AE4008" s="304"/>
    </row>
    <row r="4009" spans="28:31" ht="12">
      <c r="AB4009" s="304"/>
      <c r="AC4009" s="304"/>
      <c r="AD4009" s="304"/>
      <c r="AE4009" s="304"/>
    </row>
    <row r="4010" spans="28:31" ht="12">
      <c r="AB4010" s="304"/>
      <c r="AC4010" s="304"/>
      <c r="AD4010" s="304"/>
      <c r="AE4010" s="304"/>
    </row>
    <row r="4011" spans="28:31" ht="12">
      <c r="AB4011" s="304"/>
      <c r="AC4011" s="304"/>
      <c r="AD4011" s="304"/>
      <c r="AE4011" s="304"/>
    </row>
    <row r="4012" spans="28:31" ht="12">
      <c r="AB4012" s="304"/>
      <c r="AC4012" s="304"/>
      <c r="AD4012" s="304"/>
      <c r="AE4012" s="304"/>
    </row>
    <row r="4013" spans="28:31" ht="12">
      <c r="AB4013" s="304"/>
      <c r="AC4013" s="304"/>
      <c r="AD4013" s="304"/>
      <c r="AE4013" s="304"/>
    </row>
    <row r="4014" spans="28:31" ht="12">
      <c r="AB4014" s="304"/>
      <c r="AC4014" s="304"/>
      <c r="AD4014" s="304"/>
      <c r="AE4014" s="304"/>
    </row>
    <row r="4015" spans="28:31" ht="12">
      <c r="AB4015" s="304"/>
      <c r="AC4015" s="304"/>
      <c r="AD4015" s="304"/>
      <c r="AE4015" s="304"/>
    </row>
    <row r="4016" spans="28:31" ht="12">
      <c r="AB4016" s="304"/>
      <c r="AC4016" s="304"/>
      <c r="AD4016" s="304"/>
      <c r="AE4016" s="304"/>
    </row>
    <row r="4017" spans="28:31" ht="12">
      <c r="AB4017" s="304"/>
      <c r="AC4017" s="304"/>
      <c r="AD4017" s="304"/>
      <c r="AE4017" s="304"/>
    </row>
    <row r="4018" spans="28:31" ht="12">
      <c r="AB4018" s="304"/>
      <c r="AC4018" s="304"/>
      <c r="AD4018" s="304"/>
      <c r="AE4018" s="304"/>
    </row>
    <row r="4019" spans="28:31" ht="12">
      <c r="AB4019" s="304"/>
      <c r="AC4019" s="304"/>
      <c r="AD4019" s="304"/>
      <c r="AE4019" s="304"/>
    </row>
    <row r="4020" spans="28:31" ht="12">
      <c r="AB4020" s="304"/>
      <c r="AC4020" s="304"/>
      <c r="AD4020" s="304"/>
      <c r="AE4020" s="304"/>
    </row>
    <row r="4021" spans="28:31" ht="12">
      <c r="AB4021" s="304"/>
      <c r="AC4021" s="304"/>
      <c r="AD4021" s="304"/>
      <c r="AE4021" s="304"/>
    </row>
    <row r="4022" spans="28:31" ht="12">
      <c r="AB4022" s="304"/>
      <c r="AC4022" s="304"/>
      <c r="AD4022" s="304"/>
      <c r="AE4022" s="304"/>
    </row>
    <row r="4023" spans="28:31" ht="12">
      <c r="AB4023" s="304"/>
      <c r="AC4023" s="304"/>
      <c r="AD4023" s="304"/>
      <c r="AE4023" s="304"/>
    </row>
    <row r="4024" spans="28:31" ht="12">
      <c r="AB4024" s="304"/>
      <c r="AC4024" s="304"/>
      <c r="AD4024" s="304"/>
      <c r="AE4024" s="304"/>
    </row>
    <row r="4025" spans="28:31" ht="12">
      <c r="AB4025" s="304"/>
      <c r="AC4025" s="304"/>
      <c r="AD4025" s="304"/>
      <c r="AE4025" s="304"/>
    </row>
    <row r="4026" spans="28:31" ht="12">
      <c r="AB4026" s="304"/>
      <c r="AC4026" s="304"/>
      <c r="AD4026" s="304"/>
      <c r="AE4026" s="304"/>
    </row>
    <row r="4027" spans="28:31" ht="12">
      <c r="AB4027" s="304"/>
      <c r="AC4027" s="304"/>
      <c r="AD4027" s="304"/>
      <c r="AE4027" s="304"/>
    </row>
    <row r="4028" spans="28:31" ht="12">
      <c r="AB4028" s="304"/>
      <c r="AC4028" s="304"/>
      <c r="AD4028" s="304"/>
      <c r="AE4028" s="304"/>
    </row>
    <row r="4029" spans="28:31" ht="12">
      <c r="AB4029" s="304"/>
      <c r="AC4029" s="304"/>
      <c r="AD4029" s="304"/>
      <c r="AE4029" s="304"/>
    </row>
    <row r="4030" spans="28:31" ht="12">
      <c r="AB4030" s="304"/>
      <c r="AC4030" s="304"/>
      <c r="AD4030" s="304"/>
      <c r="AE4030" s="304"/>
    </row>
    <row r="4031" spans="28:31" ht="12">
      <c r="AB4031" s="304"/>
      <c r="AC4031" s="304"/>
      <c r="AD4031" s="304"/>
      <c r="AE4031" s="304"/>
    </row>
    <row r="4032" spans="28:31" ht="12">
      <c r="AB4032" s="304"/>
      <c r="AC4032" s="304"/>
      <c r="AD4032" s="304"/>
      <c r="AE4032" s="304"/>
    </row>
    <row r="4033" spans="28:31" ht="12">
      <c r="AB4033" s="304"/>
      <c r="AC4033" s="304"/>
      <c r="AD4033" s="304"/>
      <c r="AE4033" s="304"/>
    </row>
    <row r="4034" spans="28:31" ht="12">
      <c r="AB4034" s="304"/>
      <c r="AC4034" s="304"/>
      <c r="AD4034" s="304"/>
      <c r="AE4034" s="304"/>
    </row>
    <row r="4035" spans="28:31" ht="12">
      <c r="AB4035" s="304"/>
      <c r="AC4035" s="304"/>
      <c r="AD4035" s="304"/>
      <c r="AE4035" s="304"/>
    </row>
    <row r="4036" spans="28:31" ht="12">
      <c r="AB4036" s="304"/>
      <c r="AC4036" s="304"/>
      <c r="AD4036" s="304"/>
      <c r="AE4036" s="304"/>
    </row>
    <row r="4037" spans="28:31" ht="12">
      <c r="AB4037" s="304"/>
      <c r="AC4037" s="304"/>
      <c r="AD4037" s="304"/>
      <c r="AE4037" s="304"/>
    </row>
    <row r="4038" spans="28:31" ht="12">
      <c r="AB4038" s="304"/>
      <c r="AC4038" s="304"/>
      <c r="AD4038" s="304"/>
      <c r="AE4038" s="304"/>
    </row>
    <row r="4039" spans="28:31" ht="12">
      <c r="AB4039" s="304"/>
      <c r="AC4039" s="304"/>
      <c r="AD4039" s="304"/>
      <c r="AE4039" s="304"/>
    </row>
    <row r="4040" spans="28:31" ht="12">
      <c r="AB4040" s="304"/>
      <c r="AC4040" s="304"/>
      <c r="AD4040" s="304"/>
      <c r="AE4040" s="304"/>
    </row>
    <row r="4041" spans="28:31" ht="12">
      <c r="AB4041" s="304"/>
      <c r="AC4041" s="304"/>
      <c r="AD4041" s="304"/>
      <c r="AE4041" s="304"/>
    </row>
    <row r="4042" spans="28:31" ht="12">
      <c r="AB4042" s="304"/>
      <c r="AC4042" s="304"/>
      <c r="AD4042" s="304"/>
      <c r="AE4042" s="304"/>
    </row>
    <row r="4043" spans="28:31" ht="12">
      <c r="AB4043" s="304"/>
      <c r="AC4043" s="304"/>
      <c r="AD4043" s="304"/>
      <c r="AE4043" s="304"/>
    </row>
    <row r="4044" spans="28:31" ht="12">
      <c r="AB4044" s="304"/>
      <c r="AC4044" s="304"/>
      <c r="AD4044" s="304"/>
      <c r="AE4044" s="304"/>
    </row>
    <row r="4045" spans="28:31" ht="12">
      <c r="AB4045" s="304"/>
      <c r="AC4045" s="304"/>
      <c r="AD4045" s="304"/>
      <c r="AE4045" s="304"/>
    </row>
    <row r="4046" spans="28:31" ht="12">
      <c r="AB4046" s="304"/>
      <c r="AC4046" s="304"/>
      <c r="AD4046" s="304"/>
      <c r="AE4046" s="304"/>
    </row>
    <row r="4047" spans="28:31" ht="12">
      <c r="AB4047" s="304"/>
      <c r="AC4047" s="304"/>
      <c r="AD4047" s="304"/>
      <c r="AE4047" s="304"/>
    </row>
    <row r="4048" spans="28:31" ht="12">
      <c r="AB4048" s="304"/>
      <c r="AC4048" s="304"/>
      <c r="AD4048" s="304"/>
      <c r="AE4048" s="304"/>
    </row>
    <row r="4049" spans="28:31" ht="12">
      <c r="AB4049" s="304"/>
      <c r="AC4049" s="304"/>
      <c r="AD4049" s="304"/>
      <c r="AE4049" s="304"/>
    </row>
    <row r="4050" spans="28:31" ht="12">
      <c r="AB4050" s="304"/>
      <c r="AC4050" s="304"/>
      <c r="AD4050" s="304"/>
      <c r="AE4050" s="304"/>
    </row>
    <row r="4051" spans="28:31" ht="12">
      <c r="AB4051" s="304"/>
      <c r="AC4051" s="304"/>
      <c r="AD4051" s="304"/>
      <c r="AE4051" s="304"/>
    </row>
    <row r="4052" spans="28:31" ht="12">
      <c r="AB4052" s="304"/>
      <c r="AC4052" s="304"/>
      <c r="AD4052" s="304"/>
      <c r="AE4052" s="304"/>
    </row>
    <row r="4053" spans="28:31" ht="12">
      <c r="AB4053" s="304"/>
      <c r="AC4053" s="304"/>
      <c r="AD4053" s="304"/>
      <c r="AE4053" s="304"/>
    </row>
    <row r="4054" spans="28:31" ht="12">
      <c r="AB4054" s="304"/>
      <c r="AC4054" s="304"/>
      <c r="AD4054" s="304"/>
      <c r="AE4054" s="304"/>
    </row>
    <row r="4055" spans="28:31" ht="12">
      <c r="AB4055" s="304"/>
      <c r="AC4055" s="304"/>
      <c r="AD4055" s="304"/>
      <c r="AE4055" s="304"/>
    </row>
    <row r="4056" spans="28:31" ht="12">
      <c r="AB4056" s="304"/>
      <c r="AC4056" s="304"/>
      <c r="AD4056" s="304"/>
      <c r="AE4056" s="304"/>
    </row>
    <row r="4057" spans="28:31" ht="12">
      <c r="AB4057" s="304"/>
      <c r="AC4057" s="304"/>
      <c r="AD4057" s="304"/>
      <c r="AE4057" s="304"/>
    </row>
    <row r="4058" spans="28:31" ht="12">
      <c r="AB4058" s="304"/>
      <c r="AC4058" s="304"/>
      <c r="AD4058" s="304"/>
      <c r="AE4058" s="304"/>
    </row>
    <row r="4059" spans="28:31" ht="12">
      <c r="AB4059" s="304"/>
      <c r="AC4059" s="304"/>
      <c r="AD4059" s="304"/>
      <c r="AE4059" s="304"/>
    </row>
    <row r="4060" spans="28:31" ht="12">
      <c r="AB4060" s="304"/>
      <c r="AC4060" s="304"/>
      <c r="AD4060" s="304"/>
      <c r="AE4060" s="304"/>
    </row>
    <row r="4061" spans="28:31" ht="12">
      <c r="AB4061" s="304"/>
      <c r="AC4061" s="304"/>
      <c r="AD4061" s="304"/>
      <c r="AE4061" s="304"/>
    </row>
    <row r="4062" spans="28:31" ht="12">
      <c r="AB4062" s="304"/>
      <c r="AC4062" s="304"/>
      <c r="AD4062" s="304"/>
      <c r="AE4062" s="304"/>
    </row>
    <row r="4063" spans="28:31" ht="12">
      <c r="AB4063" s="304"/>
      <c r="AC4063" s="304"/>
      <c r="AD4063" s="304"/>
      <c r="AE4063" s="304"/>
    </row>
    <row r="4064" spans="28:31" ht="12">
      <c r="AB4064" s="304"/>
      <c r="AC4064" s="304"/>
      <c r="AD4064" s="304"/>
      <c r="AE4064" s="304"/>
    </row>
    <row r="4065" spans="28:31" ht="12">
      <c r="AB4065" s="304"/>
      <c r="AC4065" s="304"/>
      <c r="AD4065" s="304"/>
      <c r="AE4065" s="304"/>
    </row>
    <row r="4066" spans="28:31" ht="12">
      <c r="AB4066" s="304"/>
      <c r="AC4066" s="304"/>
      <c r="AD4066" s="304"/>
      <c r="AE4066" s="304"/>
    </row>
    <row r="4067" spans="28:31" ht="12">
      <c r="AB4067" s="304"/>
      <c r="AC4067" s="304"/>
      <c r="AD4067" s="304"/>
      <c r="AE4067" s="304"/>
    </row>
    <row r="4068" spans="28:31" ht="12">
      <c r="AB4068" s="304"/>
      <c r="AC4068" s="304"/>
      <c r="AD4068" s="304"/>
      <c r="AE4068" s="304"/>
    </row>
    <row r="4069" spans="28:31" ht="12">
      <c r="AB4069" s="304"/>
      <c r="AC4069" s="304"/>
      <c r="AD4069" s="304"/>
      <c r="AE4069" s="304"/>
    </row>
    <row r="4070" spans="28:31" ht="12">
      <c r="AB4070" s="304"/>
      <c r="AC4070" s="304"/>
      <c r="AD4070" s="304"/>
      <c r="AE4070" s="304"/>
    </row>
    <row r="4071" spans="28:31" ht="12">
      <c r="AB4071" s="304"/>
      <c r="AC4071" s="304"/>
      <c r="AD4071" s="304"/>
      <c r="AE4071" s="304"/>
    </row>
    <row r="4072" spans="28:31" ht="12">
      <c r="AB4072" s="304"/>
      <c r="AC4072" s="304"/>
      <c r="AD4072" s="304"/>
      <c r="AE4072" s="304"/>
    </row>
    <row r="4073" spans="28:31" ht="12">
      <c r="AB4073" s="304"/>
      <c r="AC4073" s="304"/>
      <c r="AD4073" s="304"/>
      <c r="AE4073" s="304"/>
    </row>
    <row r="4074" spans="28:31" ht="12">
      <c r="AB4074" s="304"/>
      <c r="AC4074" s="304"/>
      <c r="AD4074" s="304"/>
      <c r="AE4074" s="304"/>
    </row>
    <row r="4075" spans="28:31" ht="12">
      <c r="AB4075" s="304"/>
      <c r="AC4075" s="304"/>
      <c r="AD4075" s="304"/>
      <c r="AE4075" s="304"/>
    </row>
    <row r="4076" spans="28:31" ht="12">
      <c r="AB4076" s="304"/>
      <c r="AC4076" s="304"/>
      <c r="AD4076" s="304"/>
      <c r="AE4076" s="304"/>
    </row>
    <row r="4077" spans="28:31" ht="12">
      <c r="AB4077" s="304"/>
      <c r="AC4077" s="304"/>
      <c r="AD4077" s="304"/>
      <c r="AE4077" s="304"/>
    </row>
    <row r="4078" spans="28:31" ht="12">
      <c r="AB4078" s="304"/>
      <c r="AC4078" s="304"/>
      <c r="AD4078" s="304"/>
      <c r="AE4078" s="304"/>
    </row>
    <row r="4079" spans="28:31" ht="12">
      <c r="AB4079" s="304"/>
      <c r="AC4079" s="304"/>
      <c r="AD4079" s="304"/>
      <c r="AE4079" s="304"/>
    </row>
    <row r="4080" spans="28:31" ht="12">
      <c r="AB4080" s="304"/>
      <c r="AC4080" s="304"/>
      <c r="AD4080" s="304"/>
      <c r="AE4080" s="304"/>
    </row>
    <row r="4081" spans="28:31" ht="12">
      <c r="AB4081" s="304"/>
      <c r="AC4081" s="304"/>
      <c r="AD4081" s="304"/>
      <c r="AE4081" s="304"/>
    </row>
    <row r="4082" spans="28:31" ht="12">
      <c r="AB4082" s="304"/>
      <c r="AC4082" s="304"/>
      <c r="AD4082" s="304"/>
      <c r="AE4082" s="304"/>
    </row>
    <row r="4083" spans="28:31" ht="12">
      <c r="AB4083" s="304"/>
      <c r="AC4083" s="304"/>
      <c r="AD4083" s="304"/>
      <c r="AE4083" s="304"/>
    </row>
    <row r="4084" spans="28:31" ht="12">
      <c r="AB4084" s="304"/>
      <c r="AC4084" s="304"/>
      <c r="AD4084" s="304"/>
      <c r="AE4084" s="304"/>
    </row>
    <row r="4085" spans="28:31" ht="12">
      <c r="AB4085" s="304"/>
      <c r="AC4085" s="304"/>
      <c r="AD4085" s="304"/>
      <c r="AE4085" s="304"/>
    </row>
    <row r="4086" spans="28:31" ht="12">
      <c r="AB4086" s="304"/>
      <c r="AC4086" s="304"/>
      <c r="AD4086" s="304"/>
      <c r="AE4086" s="304"/>
    </row>
    <row r="4087" spans="28:31" ht="12">
      <c r="AB4087" s="304"/>
      <c r="AC4087" s="304"/>
      <c r="AD4087" s="304"/>
      <c r="AE4087" s="304"/>
    </row>
    <row r="4088" spans="28:31" ht="12">
      <c r="AB4088" s="304"/>
      <c r="AC4088" s="304"/>
      <c r="AD4088" s="304"/>
      <c r="AE4088" s="304"/>
    </row>
    <row r="4089" spans="28:31" ht="12">
      <c r="AB4089" s="304"/>
      <c r="AC4089" s="304"/>
      <c r="AD4089" s="304"/>
      <c r="AE4089" s="304"/>
    </row>
    <row r="4090" spans="28:31" ht="12">
      <c r="AB4090" s="304"/>
      <c r="AC4090" s="304"/>
      <c r="AD4090" s="304"/>
      <c r="AE4090" s="304"/>
    </row>
    <row r="4091" spans="28:31" ht="12">
      <c r="AB4091" s="304"/>
      <c r="AC4091" s="304"/>
      <c r="AD4091" s="304"/>
      <c r="AE4091" s="304"/>
    </row>
    <row r="4092" spans="28:31" ht="12">
      <c r="AB4092" s="304"/>
      <c r="AC4092" s="304"/>
      <c r="AD4092" s="304"/>
      <c r="AE4092" s="304"/>
    </row>
    <row r="4093" spans="28:31" ht="12">
      <c r="AB4093" s="304"/>
      <c r="AC4093" s="304"/>
      <c r="AD4093" s="304"/>
      <c r="AE4093" s="304"/>
    </row>
    <row r="4094" spans="28:31" ht="12">
      <c r="AB4094" s="304"/>
      <c r="AC4094" s="304"/>
      <c r="AD4094" s="304"/>
      <c r="AE4094" s="304"/>
    </row>
    <row r="4095" spans="28:31" ht="12">
      <c r="AB4095" s="304"/>
      <c r="AC4095" s="304"/>
      <c r="AD4095" s="304"/>
      <c r="AE4095" s="304"/>
    </row>
    <row r="4096" spans="28:31" ht="12">
      <c r="AB4096" s="304"/>
      <c r="AC4096" s="304"/>
      <c r="AD4096" s="304"/>
      <c r="AE4096" s="304"/>
    </row>
    <row r="4097" spans="28:31" ht="12">
      <c r="AB4097" s="304"/>
      <c r="AC4097" s="304"/>
      <c r="AD4097" s="304"/>
      <c r="AE4097" s="304"/>
    </row>
    <row r="4098" spans="28:31" ht="12">
      <c r="AB4098" s="304"/>
      <c r="AC4098" s="304"/>
      <c r="AD4098" s="304"/>
      <c r="AE4098" s="304"/>
    </row>
    <row r="4099" spans="28:31" ht="12">
      <c r="AB4099" s="304"/>
      <c r="AC4099" s="304"/>
      <c r="AD4099" s="304"/>
      <c r="AE4099" s="304"/>
    </row>
    <row r="4100" spans="28:31" ht="12">
      <c r="AB4100" s="304"/>
      <c r="AC4100" s="304"/>
      <c r="AD4100" s="304"/>
      <c r="AE4100" s="304"/>
    </row>
    <row r="4101" spans="28:31" ht="12">
      <c r="AB4101" s="304"/>
      <c r="AC4101" s="304"/>
      <c r="AD4101" s="304"/>
      <c r="AE4101" s="304"/>
    </row>
    <row r="4102" spans="28:31" ht="12">
      <c r="AB4102" s="304"/>
      <c r="AC4102" s="304"/>
      <c r="AD4102" s="304"/>
      <c r="AE4102" s="304"/>
    </row>
    <row r="4103" spans="28:31" ht="12">
      <c r="AB4103" s="304"/>
      <c r="AC4103" s="304"/>
      <c r="AD4103" s="304"/>
      <c r="AE4103" s="304"/>
    </row>
    <row r="4104" spans="28:31" ht="12">
      <c r="AB4104" s="304"/>
      <c r="AC4104" s="304"/>
      <c r="AD4104" s="304"/>
      <c r="AE4104" s="304"/>
    </row>
    <row r="4105" spans="28:31" ht="12">
      <c r="AB4105" s="304"/>
      <c r="AC4105" s="304"/>
      <c r="AD4105" s="304"/>
      <c r="AE4105" s="304"/>
    </row>
    <row r="4106" spans="28:31" ht="12">
      <c r="AB4106" s="304"/>
      <c r="AC4106" s="304"/>
      <c r="AD4106" s="304"/>
      <c r="AE4106" s="304"/>
    </row>
    <row r="4107" spans="28:31" ht="12">
      <c r="AB4107" s="304"/>
      <c r="AC4107" s="304"/>
      <c r="AD4107" s="304"/>
      <c r="AE4107" s="304"/>
    </row>
    <row r="4108" spans="28:31" ht="12">
      <c r="AB4108" s="304"/>
      <c r="AC4108" s="304"/>
      <c r="AD4108" s="304"/>
      <c r="AE4108" s="304"/>
    </row>
    <row r="4109" spans="28:31" ht="12">
      <c r="AB4109" s="304"/>
      <c r="AC4109" s="304"/>
      <c r="AD4109" s="304"/>
      <c r="AE4109" s="304"/>
    </row>
    <row r="4110" spans="28:31" ht="12">
      <c r="AB4110" s="304"/>
      <c r="AC4110" s="304"/>
      <c r="AD4110" s="304"/>
      <c r="AE4110" s="304"/>
    </row>
    <row r="4111" spans="28:31" ht="12">
      <c r="AB4111" s="304"/>
      <c r="AC4111" s="304"/>
      <c r="AD4111" s="304"/>
      <c r="AE4111" s="304"/>
    </row>
    <row r="4112" spans="28:31" ht="12">
      <c r="AB4112" s="304"/>
      <c r="AC4112" s="304"/>
      <c r="AD4112" s="304"/>
      <c r="AE4112" s="304"/>
    </row>
    <row r="4113" spans="28:31" ht="12">
      <c r="AB4113" s="304"/>
      <c r="AC4113" s="304"/>
      <c r="AD4113" s="304"/>
      <c r="AE4113" s="304"/>
    </row>
    <row r="4114" spans="28:31" ht="12">
      <c r="AB4114" s="304"/>
      <c r="AC4114" s="304"/>
      <c r="AD4114" s="304"/>
      <c r="AE4114" s="304"/>
    </row>
    <row r="4115" spans="28:31" ht="12">
      <c r="AB4115" s="304"/>
      <c r="AC4115" s="304"/>
      <c r="AD4115" s="304"/>
      <c r="AE4115" s="304"/>
    </row>
    <row r="4116" spans="28:31" ht="12">
      <c r="AB4116" s="304"/>
      <c r="AC4116" s="304"/>
      <c r="AD4116" s="304"/>
      <c r="AE4116" s="304"/>
    </row>
    <row r="4117" spans="28:31" ht="12">
      <c r="AB4117" s="304"/>
      <c r="AC4117" s="304"/>
      <c r="AD4117" s="304"/>
      <c r="AE4117" s="304"/>
    </row>
    <row r="4118" spans="28:31" ht="12">
      <c r="AB4118" s="304"/>
      <c r="AC4118" s="304"/>
      <c r="AD4118" s="304"/>
      <c r="AE4118" s="304"/>
    </row>
    <row r="4119" spans="28:31" ht="12">
      <c r="AB4119" s="304"/>
      <c r="AC4119" s="304"/>
      <c r="AD4119" s="304"/>
      <c r="AE4119" s="304"/>
    </row>
    <row r="4120" spans="28:31" ht="12">
      <c r="AB4120" s="304"/>
      <c r="AC4120" s="304"/>
      <c r="AD4120" s="304"/>
      <c r="AE4120" s="304"/>
    </row>
    <row r="4121" spans="28:31" ht="12">
      <c r="AB4121" s="304"/>
      <c r="AC4121" s="304"/>
      <c r="AD4121" s="304"/>
      <c r="AE4121" s="304"/>
    </row>
    <row r="4122" spans="28:31" ht="12">
      <c r="AB4122" s="304"/>
      <c r="AC4122" s="304"/>
      <c r="AD4122" s="304"/>
      <c r="AE4122" s="304"/>
    </row>
    <row r="4123" spans="28:31" ht="12">
      <c r="AB4123" s="304"/>
      <c r="AC4123" s="304"/>
      <c r="AD4123" s="304"/>
      <c r="AE4123" s="304"/>
    </row>
    <row r="4124" spans="28:31" ht="12">
      <c r="AB4124" s="304"/>
      <c r="AC4124" s="304"/>
      <c r="AD4124" s="304"/>
      <c r="AE4124" s="304"/>
    </row>
    <row r="4125" spans="28:31" ht="12">
      <c r="AB4125" s="304"/>
      <c r="AC4125" s="304"/>
      <c r="AD4125" s="304"/>
      <c r="AE4125" s="304"/>
    </row>
    <row r="4126" spans="28:31" ht="12">
      <c r="AB4126" s="304"/>
      <c r="AC4126" s="304"/>
      <c r="AD4126" s="304"/>
      <c r="AE4126" s="304"/>
    </row>
    <row r="4127" spans="28:31" ht="12">
      <c r="AB4127" s="304"/>
      <c r="AC4127" s="304"/>
      <c r="AD4127" s="304"/>
      <c r="AE4127" s="304"/>
    </row>
    <row r="4128" spans="28:31" ht="12">
      <c r="AB4128" s="304"/>
      <c r="AC4128" s="304"/>
      <c r="AD4128" s="304"/>
      <c r="AE4128" s="304"/>
    </row>
    <row r="4129" spans="28:31" ht="12">
      <c r="AB4129" s="304"/>
      <c r="AC4129" s="304"/>
      <c r="AD4129" s="304"/>
      <c r="AE4129" s="304"/>
    </row>
    <row r="4130" spans="28:31" ht="12">
      <c r="AB4130" s="304"/>
      <c r="AC4130" s="304"/>
      <c r="AD4130" s="304"/>
      <c r="AE4130" s="304"/>
    </row>
    <row r="4131" spans="28:31" ht="12">
      <c r="AB4131" s="304"/>
      <c r="AC4131" s="304"/>
      <c r="AD4131" s="304"/>
      <c r="AE4131" s="304"/>
    </row>
    <row r="4132" spans="28:31" ht="12">
      <c r="AB4132" s="304"/>
      <c r="AC4132" s="304"/>
      <c r="AD4132" s="304"/>
      <c r="AE4132" s="304"/>
    </row>
    <row r="4133" spans="28:31" ht="12">
      <c r="AB4133" s="304"/>
      <c r="AC4133" s="304"/>
      <c r="AD4133" s="304"/>
      <c r="AE4133" s="304"/>
    </row>
    <row r="4134" spans="28:31" ht="12">
      <c r="AB4134" s="304"/>
      <c r="AC4134" s="304"/>
      <c r="AD4134" s="304"/>
      <c r="AE4134" s="304"/>
    </row>
    <row r="4135" spans="28:31" ht="12">
      <c r="AB4135" s="304"/>
      <c r="AC4135" s="304"/>
      <c r="AD4135" s="304"/>
      <c r="AE4135" s="304"/>
    </row>
    <row r="4136" spans="28:31" ht="12">
      <c r="AB4136" s="304"/>
      <c r="AC4136" s="304"/>
      <c r="AD4136" s="304"/>
      <c r="AE4136" s="304"/>
    </row>
    <row r="4137" spans="28:31" ht="12">
      <c r="AB4137" s="304"/>
      <c r="AC4137" s="304"/>
      <c r="AD4137" s="304"/>
      <c r="AE4137" s="304"/>
    </row>
    <row r="4138" spans="28:31" ht="12">
      <c r="AB4138" s="304"/>
      <c r="AC4138" s="304"/>
      <c r="AD4138" s="304"/>
      <c r="AE4138" s="304"/>
    </row>
    <row r="4139" spans="28:31" ht="12">
      <c r="AB4139" s="304"/>
      <c r="AC4139" s="304"/>
      <c r="AD4139" s="304"/>
      <c r="AE4139" s="304"/>
    </row>
    <row r="4140" spans="28:31" ht="12">
      <c r="AB4140" s="304"/>
      <c r="AC4140" s="304"/>
      <c r="AD4140" s="304"/>
      <c r="AE4140" s="304"/>
    </row>
    <row r="4141" spans="28:31" ht="12">
      <c r="AB4141" s="304"/>
      <c r="AC4141" s="304"/>
      <c r="AD4141" s="304"/>
      <c r="AE4141" s="304"/>
    </row>
    <row r="4142" spans="28:31" ht="12">
      <c r="AB4142" s="304"/>
      <c r="AC4142" s="304"/>
      <c r="AD4142" s="304"/>
      <c r="AE4142" s="304"/>
    </row>
    <row r="4143" spans="28:31" ht="12">
      <c r="AB4143" s="304"/>
      <c r="AC4143" s="304"/>
      <c r="AD4143" s="304"/>
      <c r="AE4143" s="304"/>
    </row>
    <row r="4144" spans="28:31" ht="12">
      <c r="AB4144" s="304"/>
      <c r="AC4144" s="304"/>
      <c r="AD4144" s="304"/>
      <c r="AE4144" s="304"/>
    </row>
    <row r="4145" spans="28:31" ht="12">
      <c r="AB4145" s="304"/>
      <c r="AC4145" s="304"/>
      <c r="AD4145" s="304"/>
      <c r="AE4145" s="304"/>
    </row>
    <row r="4146" spans="28:31" ht="12">
      <c r="AB4146" s="304"/>
      <c r="AC4146" s="304"/>
      <c r="AD4146" s="304"/>
      <c r="AE4146" s="304"/>
    </row>
    <row r="4147" spans="28:31" ht="12">
      <c r="AB4147" s="304"/>
      <c r="AC4147" s="304"/>
      <c r="AD4147" s="304"/>
      <c r="AE4147" s="304"/>
    </row>
    <row r="4148" spans="28:31" ht="12">
      <c r="AB4148" s="304"/>
      <c r="AC4148" s="304"/>
      <c r="AD4148" s="304"/>
      <c r="AE4148" s="304"/>
    </row>
    <row r="4149" spans="28:31" ht="12">
      <c r="AB4149" s="304"/>
      <c r="AC4149" s="304"/>
      <c r="AD4149" s="304"/>
      <c r="AE4149" s="304"/>
    </row>
    <row r="4150" spans="28:31" ht="12">
      <c r="AB4150" s="304"/>
      <c r="AC4150" s="304"/>
      <c r="AD4150" s="304"/>
      <c r="AE4150" s="304"/>
    </row>
    <row r="4151" spans="28:31" ht="12">
      <c r="AB4151" s="304"/>
      <c r="AC4151" s="304"/>
      <c r="AD4151" s="304"/>
      <c r="AE4151" s="304"/>
    </row>
    <row r="4152" spans="28:31" ht="12">
      <c r="AB4152" s="304"/>
      <c r="AC4152" s="304"/>
      <c r="AD4152" s="304"/>
      <c r="AE4152" s="304"/>
    </row>
    <row r="4153" spans="28:31" ht="12">
      <c r="AB4153" s="304"/>
      <c r="AC4153" s="304"/>
      <c r="AD4153" s="304"/>
      <c r="AE4153" s="304"/>
    </row>
    <row r="4154" spans="28:31" ht="12">
      <c r="AB4154" s="304"/>
      <c r="AC4154" s="304"/>
      <c r="AD4154" s="304"/>
      <c r="AE4154" s="304"/>
    </row>
    <row r="4155" spans="28:31" ht="12">
      <c r="AB4155" s="304"/>
      <c r="AC4155" s="304"/>
      <c r="AD4155" s="304"/>
      <c r="AE4155" s="304"/>
    </row>
    <row r="4156" spans="28:31" ht="12">
      <c r="AB4156" s="304"/>
      <c r="AC4156" s="304"/>
      <c r="AD4156" s="304"/>
      <c r="AE4156" s="304"/>
    </row>
    <row r="4157" spans="28:31" ht="12">
      <c r="AB4157" s="304"/>
      <c r="AC4157" s="304"/>
      <c r="AD4157" s="304"/>
      <c r="AE4157" s="304"/>
    </row>
    <row r="4158" spans="28:31" ht="12">
      <c r="AB4158" s="304"/>
      <c r="AC4158" s="304"/>
      <c r="AD4158" s="304"/>
      <c r="AE4158" s="304"/>
    </row>
    <row r="4159" spans="28:31" ht="12">
      <c r="AB4159" s="304"/>
      <c r="AC4159" s="304"/>
      <c r="AD4159" s="304"/>
      <c r="AE4159" s="304"/>
    </row>
    <row r="4160" spans="28:31" ht="12">
      <c r="AB4160" s="304"/>
      <c r="AC4160" s="304"/>
      <c r="AD4160" s="304"/>
      <c r="AE4160" s="304"/>
    </row>
    <row r="4161" spans="28:31" ht="12">
      <c r="AB4161" s="304"/>
      <c r="AC4161" s="304"/>
      <c r="AD4161" s="304"/>
      <c r="AE4161" s="304"/>
    </row>
    <row r="4162" spans="28:31" ht="12">
      <c r="AB4162" s="304"/>
      <c r="AC4162" s="304"/>
      <c r="AD4162" s="304"/>
      <c r="AE4162" s="304"/>
    </row>
    <row r="4163" spans="28:31" ht="12">
      <c r="AB4163" s="304"/>
      <c r="AC4163" s="304"/>
      <c r="AD4163" s="304"/>
      <c r="AE4163" s="304"/>
    </row>
    <row r="4164" spans="28:31" ht="12">
      <c r="AB4164" s="304"/>
      <c r="AC4164" s="304"/>
      <c r="AD4164" s="304"/>
      <c r="AE4164" s="304"/>
    </row>
    <row r="4165" spans="28:31" ht="12">
      <c r="AB4165" s="304"/>
      <c r="AC4165" s="304"/>
      <c r="AD4165" s="304"/>
      <c r="AE4165" s="304"/>
    </row>
    <row r="4166" spans="28:31" ht="12">
      <c r="AB4166" s="304"/>
      <c r="AC4166" s="304"/>
      <c r="AD4166" s="304"/>
      <c r="AE4166" s="304"/>
    </row>
    <row r="4167" spans="28:31" ht="12">
      <c r="AB4167" s="304"/>
      <c r="AC4167" s="304"/>
      <c r="AD4167" s="304"/>
      <c r="AE4167" s="304"/>
    </row>
    <row r="4168" spans="28:31" ht="12">
      <c r="AB4168" s="304"/>
      <c r="AC4168" s="304"/>
      <c r="AD4168" s="304"/>
      <c r="AE4168" s="304"/>
    </row>
    <row r="4169" spans="28:31" ht="12">
      <c r="AB4169" s="304"/>
      <c r="AC4169" s="304"/>
      <c r="AD4169" s="304"/>
      <c r="AE4169" s="304"/>
    </row>
    <row r="4170" spans="28:31" ht="12">
      <c r="AB4170" s="304"/>
      <c r="AC4170" s="304"/>
      <c r="AD4170" s="304"/>
      <c r="AE4170" s="304"/>
    </row>
    <row r="4171" spans="28:31" ht="12">
      <c r="AB4171" s="304"/>
      <c r="AC4171" s="304"/>
      <c r="AD4171" s="304"/>
      <c r="AE4171" s="304"/>
    </row>
    <row r="4172" spans="28:31" ht="12">
      <c r="AB4172" s="304"/>
      <c r="AC4172" s="304"/>
      <c r="AD4172" s="304"/>
      <c r="AE4172" s="304"/>
    </row>
    <row r="4173" spans="28:31" ht="12">
      <c r="AB4173" s="304"/>
      <c r="AC4173" s="304"/>
      <c r="AD4173" s="304"/>
      <c r="AE4173" s="304"/>
    </row>
    <row r="4174" spans="28:31" ht="12">
      <c r="AB4174" s="304"/>
      <c r="AC4174" s="304"/>
      <c r="AD4174" s="304"/>
      <c r="AE4174" s="304"/>
    </row>
    <row r="4175" spans="28:31" ht="12">
      <c r="AB4175" s="304"/>
      <c r="AC4175" s="304"/>
      <c r="AD4175" s="304"/>
      <c r="AE4175" s="304"/>
    </row>
    <row r="4176" spans="28:31" ht="12">
      <c r="AB4176" s="304"/>
      <c r="AC4176" s="304"/>
      <c r="AD4176" s="304"/>
      <c r="AE4176" s="304"/>
    </row>
    <row r="4177" spans="28:31" ht="12">
      <c r="AB4177" s="304"/>
      <c r="AC4177" s="304"/>
      <c r="AD4177" s="304"/>
      <c r="AE4177" s="304"/>
    </row>
    <row r="4178" spans="28:31" ht="12">
      <c r="AB4178" s="304"/>
      <c r="AC4178" s="304"/>
      <c r="AD4178" s="304"/>
      <c r="AE4178" s="304"/>
    </row>
    <row r="4179" spans="28:31" ht="12">
      <c r="AB4179" s="304"/>
      <c r="AC4179" s="304"/>
      <c r="AD4179" s="304"/>
      <c r="AE4179" s="304"/>
    </row>
    <row r="4180" spans="28:31" ht="12">
      <c r="AB4180" s="304"/>
      <c r="AC4180" s="304"/>
      <c r="AD4180" s="304"/>
      <c r="AE4180" s="304"/>
    </row>
    <row r="4181" spans="28:31" ht="12">
      <c r="AB4181" s="304"/>
      <c r="AC4181" s="304"/>
      <c r="AD4181" s="304"/>
      <c r="AE4181" s="304"/>
    </row>
    <row r="4182" spans="28:31" ht="12">
      <c r="AB4182" s="304"/>
      <c r="AC4182" s="304"/>
      <c r="AD4182" s="304"/>
      <c r="AE4182" s="304"/>
    </row>
    <row r="4183" spans="28:31" ht="12">
      <c r="AB4183" s="304"/>
      <c r="AC4183" s="304"/>
      <c r="AD4183" s="304"/>
      <c r="AE4183" s="304"/>
    </row>
    <row r="4184" spans="28:31" ht="12">
      <c r="AB4184" s="304"/>
      <c r="AC4184" s="304"/>
      <c r="AD4184" s="304"/>
      <c r="AE4184" s="304"/>
    </row>
    <row r="4185" spans="28:31" ht="12">
      <c r="AB4185" s="304"/>
      <c r="AC4185" s="304"/>
      <c r="AD4185" s="304"/>
      <c r="AE4185" s="304"/>
    </row>
    <row r="4186" spans="28:31" ht="12">
      <c r="AB4186" s="304"/>
      <c r="AC4186" s="304"/>
      <c r="AD4186" s="304"/>
      <c r="AE4186" s="304"/>
    </row>
    <row r="4187" spans="28:31" ht="12">
      <c r="AB4187" s="304"/>
      <c r="AC4187" s="304"/>
      <c r="AD4187" s="304"/>
      <c r="AE4187" s="304"/>
    </row>
    <row r="4188" spans="28:31" ht="12">
      <c r="AB4188" s="304"/>
      <c r="AC4188" s="304"/>
      <c r="AD4188" s="304"/>
      <c r="AE4188" s="304"/>
    </row>
    <row r="4189" spans="28:31" ht="12">
      <c r="AB4189" s="304"/>
      <c r="AC4189" s="304"/>
      <c r="AD4189" s="304"/>
      <c r="AE4189" s="304"/>
    </row>
    <row r="4190" spans="28:31" ht="12">
      <c r="AB4190" s="304"/>
      <c r="AC4190" s="304"/>
      <c r="AD4190" s="304"/>
      <c r="AE4190" s="304"/>
    </row>
    <row r="4191" spans="28:31" ht="12">
      <c r="AB4191" s="304"/>
      <c r="AC4191" s="304"/>
      <c r="AD4191" s="304"/>
      <c r="AE4191" s="304"/>
    </row>
    <row r="4192" spans="28:31" ht="12">
      <c r="AB4192" s="304"/>
      <c r="AC4192" s="304"/>
      <c r="AD4192" s="304"/>
      <c r="AE4192" s="304"/>
    </row>
    <row r="4193" spans="28:31" ht="12">
      <c r="AB4193" s="304"/>
      <c r="AC4193" s="304"/>
      <c r="AD4193" s="304"/>
      <c r="AE4193" s="304"/>
    </row>
    <row r="4194" spans="28:31" ht="12">
      <c r="AB4194" s="304"/>
      <c r="AC4194" s="304"/>
      <c r="AD4194" s="304"/>
      <c r="AE4194" s="304"/>
    </row>
    <row r="4195" spans="28:31" ht="12">
      <c r="AB4195" s="304"/>
      <c r="AC4195" s="304"/>
      <c r="AD4195" s="304"/>
      <c r="AE4195" s="304"/>
    </row>
    <row r="4196" spans="28:31" ht="12">
      <c r="AB4196" s="304"/>
      <c r="AC4196" s="304"/>
      <c r="AD4196" s="304"/>
      <c r="AE4196" s="304"/>
    </row>
    <row r="4197" spans="28:31" ht="12">
      <c r="AB4197" s="304"/>
      <c r="AC4197" s="304"/>
      <c r="AD4197" s="304"/>
      <c r="AE4197" s="304"/>
    </row>
    <row r="4198" spans="28:31" ht="12">
      <c r="AB4198" s="304"/>
      <c r="AC4198" s="304"/>
      <c r="AD4198" s="304"/>
      <c r="AE4198" s="304"/>
    </row>
    <row r="4199" spans="28:31" ht="12">
      <c r="AB4199" s="304"/>
      <c r="AC4199" s="304"/>
      <c r="AD4199" s="304"/>
      <c r="AE4199" s="304"/>
    </row>
    <row r="4200" spans="28:31" ht="12">
      <c r="AB4200" s="304"/>
      <c r="AC4200" s="304"/>
      <c r="AD4200" s="304"/>
      <c r="AE4200" s="304"/>
    </row>
    <row r="4201" spans="28:31" ht="12">
      <c r="AB4201" s="304"/>
      <c r="AC4201" s="304"/>
      <c r="AD4201" s="304"/>
      <c r="AE4201" s="304"/>
    </row>
    <row r="4202" spans="28:31" ht="12">
      <c r="AB4202" s="304"/>
      <c r="AC4202" s="304"/>
      <c r="AD4202" s="304"/>
      <c r="AE4202" s="304"/>
    </row>
    <row r="4203" spans="28:31" ht="12">
      <c r="AB4203" s="304"/>
      <c r="AC4203" s="304"/>
      <c r="AD4203" s="304"/>
      <c r="AE4203" s="304"/>
    </row>
    <row r="4204" spans="28:31" ht="12">
      <c r="AB4204" s="304"/>
      <c r="AC4204" s="304"/>
      <c r="AD4204" s="304"/>
      <c r="AE4204" s="304"/>
    </row>
    <row r="4205" spans="28:31" ht="12">
      <c r="AB4205" s="304"/>
      <c r="AC4205" s="304"/>
      <c r="AD4205" s="304"/>
      <c r="AE4205" s="304"/>
    </row>
    <row r="4206" spans="28:31" ht="12">
      <c r="AB4206" s="304"/>
      <c r="AC4206" s="304"/>
      <c r="AD4206" s="304"/>
      <c r="AE4206" s="304"/>
    </row>
    <row r="4207" spans="28:31" ht="12">
      <c r="AB4207" s="304"/>
      <c r="AC4207" s="304"/>
      <c r="AD4207" s="304"/>
      <c r="AE4207" s="304"/>
    </row>
    <row r="4208" spans="28:31" ht="12">
      <c r="AB4208" s="304"/>
      <c r="AC4208" s="304"/>
      <c r="AD4208" s="304"/>
      <c r="AE4208" s="304"/>
    </row>
    <row r="4209" spans="28:31" ht="12">
      <c r="AB4209" s="304"/>
      <c r="AC4209" s="304"/>
      <c r="AD4209" s="304"/>
      <c r="AE4209" s="304"/>
    </row>
    <row r="4210" spans="28:31" ht="12">
      <c r="AB4210" s="304"/>
      <c r="AC4210" s="304"/>
      <c r="AD4210" s="304"/>
      <c r="AE4210" s="304"/>
    </row>
    <row r="4211" spans="28:31" ht="12">
      <c r="AB4211" s="304"/>
      <c r="AC4211" s="304"/>
      <c r="AD4211" s="304"/>
      <c r="AE4211" s="304"/>
    </row>
    <row r="4212" spans="28:31" ht="12">
      <c r="AB4212" s="304"/>
      <c r="AC4212" s="304"/>
      <c r="AD4212" s="304"/>
      <c r="AE4212" s="304"/>
    </row>
    <row r="4213" spans="28:31" ht="12">
      <c r="AB4213" s="304"/>
      <c r="AC4213" s="304"/>
      <c r="AD4213" s="304"/>
      <c r="AE4213" s="304"/>
    </row>
    <row r="4214" spans="28:31" ht="12">
      <c r="AB4214" s="304"/>
      <c r="AC4214" s="304"/>
      <c r="AD4214" s="304"/>
      <c r="AE4214" s="304"/>
    </row>
    <row r="4215" spans="28:31" ht="12">
      <c r="AB4215" s="304"/>
      <c r="AC4215" s="304"/>
      <c r="AD4215" s="304"/>
      <c r="AE4215" s="304"/>
    </row>
    <row r="4216" spans="28:31" ht="12">
      <c r="AB4216" s="304"/>
      <c r="AC4216" s="304"/>
      <c r="AD4216" s="304"/>
      <c r="AE4216" s="304"/>
    </row>
    <row r="4217" spans="28:31" ht="12">
      <c r="AB4217" s="304"/>
      <c r="AC4217" s="304"/>
      <c r="AD4217" s="304"/>
      <c r="AE4217" s="304"/>
    </row>
    <row r="4218" spans="28:31" ht="12">
      <c r="AB4218" s="304"/>
      <c r="AC4218" s="304"/>
      <c r="AD4218" s="304"/>
      <c r="AE4218" s="304"/>
    </row>
    <row r="4219" spans="28:31" ht="12">
      <c r="AB4219" s="304"/>
      <c r="AC4219" s="304"/>
      <c r="AD4219" s="304"/>
      <c r="AE4219" s="304"/>
    </row>
    <row r="4220" spans="28:31" ht="12">
      <c r="AB4220" s="304"/>
      <c r="AC4220" s="304"/>
      <c r="AD4220" s="304"/>
      <c r="AE4220" s="304"/>
    </row>
    <row r="4221" spans="28:31" ht="12">
      <c r="AB4221" s="304"/>
      <c r="AC4221" s="304"/>
      <c r="AD4221" s="304"/>
      <c r="AE4221" s="304"/>
    </row>
    <row r="4222" spans="28:31" ht="12">
      <c r="AB4222" s="304"/>
      <c r="AC4222" s="304"/>
      <c r="AD4222" s="304"/>
      <c r="AE4222" s="304"/>
    </row>
    <row r="4223" spans="28:31" ht="12">
      <c r="AB4223" s="304"/>
      <c r="AC4223" s="304"/>
      <c r="AD4223" s="304"/>
      <c r="AE4223" s="304"/>
    </row>
    <row r="4224" spans="28:31" ht="12">
      <c r="AB4224" s="304"/>
      <c r="AC4224" s="304"/>
      <c r="AD4224" s="304"/>
      <c r="AE4224" s="304"/>
    </row>
    <row r="4225" spans="28:31" ht="12">
      <c r="AB4225" s="304"/>
      <c r="AC4225" s="304"/>
      <c r="AD4225" s="304"/>
      <c r="AE4225" s="304"/>
    </row>
    <row r="4226" spans="28:31" ht="12">
      <c r="AB4226" s="304"/>
      <c r="AC4226" s="304"/>
      <c r="AD4226" s="304"/>
      <c r="AE4226" s="304"/>
    </row>
    <row r="4227" spans="28:31" ht="12">
      <c r="AB4227" s="304"/>
      <c r="AC4227" s="304"/>
      <c r="AD4227" s="304"/>
      <c r="AE4227" s="304"/>
    </row>
    <row r="4228" spans="28:31" ht="12">
      <c r="AB4228" s="304"/>
      <c r="AC4228" s="304"/>
      <c r="AD4228" s="304"/>
      <c r="AE4228" s="304"/>
    </row>
    <row r="4229" spans="28:31" ht="12">
      <c r="AB4229" s="304"/>
      <c r="AC4229" s="304"/>
      <c r="AD4229" s="304"/>
      <c r="AE4229" s="304"/>
    </row>
    <row r="4230" spans="28:31" ht="12">
      <c r="AB4230" s="304"/>
      <c r="AC4230" s="304"/>
      <c r="AD4230" s="304"/>
      <c r="AE4230" s="304"/>
    </row>
    <row r="4231" spans="28:31" ht="12">
      <c r="AB4231" s="304"/>
      <c r="AC4231" s="304"/>
      <c r="AD4231" s="304"/>
      <c r="AE4231" s="304"/>
    </row>
    <row r="4232" spans="28:31" ht="12">
      <c r="AB4232" s="304"/>
      <c r="AC4232" s="304"/>
      <c r="AD4232" s="304"/>
      <c r="AE4232" s="304"/>
    </row>
    <row r="4233" spans="28:31" ht="12">
      <c r="AB4233" s="304"/>
      <c r="AC4233" s="304"/>
      <c r="AD4233" s="304"/>
      <c r="AE4233" s="304"/>
    </row>
    <row r="4234" spans="28:31" ht="12">
      <c r="AB4234" s="304"/>
      <c r="AC4234" s="304"/>
      <c r="AD4234" s="304"/>
      <c r="AE4234" s="304"/>
    </row>
    <row r="4235" spans="28:31" ht="12">
      <c r="AB4235" s="304"/>
      <c r="AC4235" s="304"/>
      <c r="AD4235" s="304"/>
      <c r="AE4235" s="304"/>
    </row>
    <row r="4236" spans="28:31" ht="12">
      <c r="AB4236" s="304"/>
      <c r="AC4236" s="304"/>
      <c r="AD4236" s="304"/>
      <c r="AE4236" s="304"/>
    </row>
    <row r="4237" spans="28:31" ht="12">
      <c r="AB4237" s="304"/>
      <c r="AC4237" s="304"/>
      <c r="AD4237" s="304"/>
      <c r="AE4237" s="304"/>
    </row>
    <row r="4238" spans="28:31" ht="12">
      <c r="AB4238" s="304"/>
      <c r="AC4238" s="304"/>
      <c r="AD4238" s="304"/>
      <c r="AE4238" s="304"/>
    </row>
    <row r="4239" spans="28:31" ht="12">
      <c r="AB4239" s="304"/>
      <c r="AC4239" s="304"/>
      <c r="AD4239" s="304"/>
      <c r="AE4239" s="304"/>
    </row>
    <row r="4240" spans="28:31" ht="12">
      <c r="AB4240" s="304"/>
      <c r="AC4240" s="304"/>
      <c r="AD4240" s="304"/>
      <c r="AE4240" s="304"/>
    </row>
    <row r="4241" spans="28:31" ht="12">
      <c r="AB4241" s="304"/>
      <c r="AC4241" s="304"/>
      <c r="AD4241" s="304"/>
      <c r="AE4241" s="304"/>
    </row>
    <row r="4242" spans="28:31" ht="12">
      <c r="AB4242" s="304"/>
      <c r="AC4242" s="304"/>
      <c r="AD4242" s="304"/>
      <c r="AE4242" s="304"/>
    </row>
    <row r="4243" spans="28:31" ht="12">
      <c r="AB4243" s="304"/>
      <c r="AC4243" s="304"/>
      <c r="AD4243" s="304"/>
      <c r="AE4243" s="304"/>
    </row>
    <row r="4244" spans="28:31" ht="12">
      <c r="AB4244" s="304"/>
      <c r="AC4244" s="304"/>
      <c r="AD4244" s="304"/>
      <c r="AE4244" s="304"/>
    </row>
    <row r="4245" spans="28:31" ht="12">
      <c r="AB4245" s="304"/>
      <c r="AC4245" s="304"/>
      <c r="AD4245" s="304"/>
      <c r="AE4245" s="304"/>
    </row>
    <row r="4246" spans="28:31" ht="12">
      <c r="AB4246" s="304"/>
      <c r="AC4246" s="304"/>
      <c r="AD4246" s="304"/>
      <c r="AE4246" s="304"/>
    </row>
    <row r="4247" spans="28:31" ht="12">
      <c r="AB4247" s="304"/>
      <c r="AC4247" s="304"/>
      <c r="AD4247" s="304"/>
      <c r="AE4247" s="304"/>
    </row>
    <row r="4248" spans="28:31" ht="12">
      <c r="AB4248" s="304"/>
      <c r="AC4248" s="304"/>
      <c r="AD4248" s="304"/>
      <c r="AE4248" s="304"/>
    </row>
    <row r="4249" spans="28:31" ht="12">
      <c r="AB4249" s="304"/>
      <c r="AC4249" s="304"/>
      <c r="AD4249" s="304"/>
      <c r="AE4249" s="304"/>
    </row>
    <row r="4250" spans="28:31" ht="12">
      <c r="AB4250" s="304"/>
      <c r="AC4250" s="304"/>
      <c r="AD4250" s="304"/>
      <c r="AE4250" s="304"/>
    </row>
    <row r="4251" spans="28:31" ht="12">
      <c r="AB4251" s="304"/>
      <c r="AC4251" s="304"/>
      <c r="AD4251" s="304"/>
      <c r="AE4251" s="304"/>
    </row>
    <row r="4252" spans="28:31" ht="12">
      <c r="AB4252" s="304"/>
      <c r="AC4252" s="304"/>
      <c r="AD4252" s="304"/>
      <c r="AE4252" s="304"/>
    </row>
    <row r="4253" spans="28:31" ht="12">
      <c r="AB4253" s="304"/>
      <c r="AC4253" s="304"/>
      <c r="AD4253" s="304"/>
      <c r="AE4253" s="304"/>
    </row>
    <row r="4254" spans="28:31" ht="12">
      <c r="AB4254" s="304"/>
      <c r="AC4254" s="304"/>
      <c r="AD4254" s="304"/>
      <c r="AE4254" s="304"/>
    </row>
    <row r="4255" spans="28:31" ht="12">
      <c r="AB4255" s="304"/>
      <c r="AC4255" s="304"/>
      <c r="AD4255" s="304"/>
      <c r="AE4255" s="304"/>
    </row>
    <row r="4256" spans="28:31" ht="12">
      <c r="AB4256" s="304"/>
      <c r="AC4256" s="304"/>
      <c r="AD4256" s="304"/>
      <c r="AE4256" s="304"/>
    </row>
    <row r="4257" spans="28:31" ht="12">
      <c r="AB4257" s="304"/>
      <c r="AC4257" s="304"/>
      <c r="AD4257" s="304"/>
      <c r="AE4257" s="304"/>
    </row>
    <row r="4258" spans="28:31" ht="12">
      <c r="AB4258" s="304"/>
      <c r="AC4258" s="304"/>
      <c r="AD4258" s="304"/>
      <c r="AE4258" s="304"/>
    </row>
    <row r="4259" spans="28:31" ht="12">
      <c r="AB4259" s="304"/>
      <c r="AC4259" s="304"/>
      <c r="AD4259" s="304"/>
      <c r="AE4259" s="304"/>
    </row>
    <row r="4260" spans="28:31" ht="12">
      <c r="AB4260" s="304"/>
      <c r="AC4260" s="304"/>
      <c r="AD4260" s="304"/>
      <c r="AE4260" s="304"/>
    </row>
    <row r="4261" spans="28:31" ht="12">
      <c r="AB4261" s="304"/>
      <c r="AC4261" s="304"/>
      <c r="AD4261" s="304"/>
      <c r="AE4261" s="304"/>
    </row>
    <row r="4262" spans="28:31" ht="12">
      <c r="AB4262" s="304"/>
      <c r="AC4262" s="304"/>
      <c r="AD4262" s="304"/>
      <c r="AE4262" s="304"/>
    </row>
    <row r="4263" spans="28:31" ht="12">
      <c r="AB4263" s="304"/>
      <c r="AC4263" s="304"/>
      <c r="AD4263" s="304"/>
      <c r="AE4263" s="304"/>
    </row>
    <row r="4264" spans="28:31" ht="12">
      <c r="AB4264" s="304"/>
      <c r="AC4264" s="304"/>
      <c r="AD4264" s="304"/>
      <c r="AE4264" s="304"/>
    </row>
    <row r="4265" spans="28:31" ht="12">
      <c r="AB4265" s="304"/>
      <c r="AC4265" s="304"/>
      <c r="AD4265" s="304"/>
      <c r="AE4265" s="304"/>
    </row>
    <row r="4266" spans="28:31" ht="12">
      <c r="AB4266" s="304"/>
      <c r="AC4266" s="304"/>
      <c r="AD4266" s="304"/>
      <c r="AE4266" s="304"/>
    </row>
    <row r="4267" spans="28:31" ht="12">
      <c r="AB4267" s="304"/>
      <c r="AC4267" s="304"/>
      <c r="AD4267" s="304"/>
      <c r="AE4267" s="304"/>
    </row>
    <row r="4268" spans="28:31" ht="12">
      <c r="AB4268" s="304"/>
      <c r="AC4268" s="304"/>
      <c r="AD4268" s="304"/>
      <c r="AE4268" s="304"/>
    </row>
    <row r="4269" spans="28:31" ht="12">
      <c r="AB4269" s="304"/>
      <c r="AC4269" s="304"/>
      <c r="AD4269" s="304"/>
      <c r="AE4269" s="304"/>
    </row>
    <row r="4270" spans="28:31" ht="12">
      <c r="AB4270" s="304"/>
      <c r="AC4270" s="304"/>
      <c r="AD4270" s="304"/>
      <c r="AE4270" s="304"/>
    </row>
    <row r="4271" spans="28:31" ht="12">
      <c r="AB4271" s="304"/>
      <c r="AC4271" s="304"/>
      <c r="AD4271" s="304"/>
      <c r="AE4271" s="304"/>
    </row>
    <row r="4272" spans="28:31" ht="12">
      <c r="AB4272" s="304"/>
      <c r="AC4272" s="304"/>
      <c r="AD4272" s="304"/>
      <c r="AE4272" s="304"/>
    </row>
    <row r="4273" spans="28:31" ht="12">
      <c r="AB4273" s="304"/>
      <c r="AC4273" s="304"/>
      <c r="AD4273" s="304"/>
      <c r="AE4273" s="304"/>
    </row>
    <row r="4274" spans="28:31" ht="12">
      <c r="AB4274" s="304"/>
      <c r="AC4274" s="304"/>
      <c r="AD4274" s="304"/>
      <c r="AE4274" s="304"/>
    </row>
    <row r="4275" spans="28:31" ht="12">
      <c r="AB4275" s="304"/>
      <c r="AC4275" s="304"/>
      <c r="AD4275" s="304"/>
      <c r="AE4275" s="304"/>
    </row>
    <row r="4276" spans="28:31" ht="12">
      <c r="AB4276" s="304"/>
      <c r="AC4276" s="304"/>
      <c r="AD4276" s="304"/>
      <c r="AE4276" s="304"/>
    </row>
    <row r="4277" spans="28:31" ht="12">
      <c r="AB4277" s="304"/>
      <c r="AC4277" s="304"/>
      <c r="AD4277" s="304"/>
      <c r="AE4277" s="304"/>
    </row>
    <row r="4278" spans="28:31" ht="12">
      <c r="AB4278" s="304"/>
      <c r="AC4278" s="304"/>
      <c r="AD4278" s="304"/>
      <c r="AE4278" s="304"/>
    </row>
    <row r="4279" spans="28:31" ht="12">
      <c r="AB4279" s="304"/>
      <c r="AC4279" s="304"/>
      <c r="AD4279" s="304"/>
      <c r="AE4279" s="304"/>
    </row>
    <row r="4280" spans="28:31" ht="12">
      <c r="AB4280" s="304"/>
      <c r="AC4280" s="304"/>
      <c r="AD4280" s="304"/>
      <c r="AE4280" s="304"/>
    </row>
    <row r="4281" spans="28:31" ht="12">
      <c r="AB4281" s="304"/>
      <c r="AC4281" s="304"/>
      <c r="AD4281" s="304"/>
      <c r="AE4281" s="304"/>
    </row>
    <row r="4282" spans="28:31" ht="12">
      <c r="AB4282" s="304"/>
      <c r="AC4282" s="304"/>
      <c r="AD4282" s="304"/>
      <c r="AE4282" s="304"/>
    </row>
    <row r="4283" spans="28:31" ht="12">
      <c r="AB4283" s="304"/>
      <c r="AC4283" s="304"/>
      <c r="AD4283" s="304"/>
      <c r="AE4283" s="304"/>
    </row>
    <row r="4284" spans="28:31" ht="12">
      <c r="AB4284" s="304"/>
      <c r="AC4284" s="304"/>
      <c r="AD4284" s="304"/>
      <c r="AE4284" s="304"/>
    </row>
    <row r="4285" spans="28:31" ht="12">
      <c r="AB4285" s="304"/>
      <c r="AC4285" s="304"/>
      <c r="AD4285" s="304"/>
      <c r="AE4285" s="304"/>
    </row>
    <row r="4286" spans="28:31" ht="12">
      <c r="AB4286" s="304"/>
      <c r="AC4286" s="304"/>
      <c r="AD4286" s="304"/>
      <c r="AE4286" s="304"/>
    </row>
    <row r="4287" spans="28:31" ht="12">
      <c r="AB4287" s="304"/>
      <c r="AC4287" s="304"/>
      <c r="AD4287" s="304"/>
      <c r="AE4287" s="304"/>
    </row>
    <row r="4288" spans="28:31" ht="12">
      <c r="AB4288" s="304"/>
      <c r="AC4288" s="304"/>
      <c r="AD4288" s="304"/>
      <c r="AE4288" s="304"/>
    </row>
    <row r="4289" spans="28:31" ht="12">
      <c r="AB4289" s="304"/>
      <c r="AC4289" s="304"/>
      <c r="AD4289" s="304"/>
      <c r="AE4289" s="304"/>
    </row>
    <row r="4290" spans="28:31" ht="12">
      <c r="AB4290" s="304"/>
      <c r="AC4290" s="304"/>
      <c r="AD4290" s="304"/>
      <c r="AE4290" s="304"/>
    </row>
    <row r="4291" spans="28:31" ht="12">
      <c r="AB4291" s="304"/>
      <c r="AC4291" s="304"/>
      <c r="AD4291" s="304"/>
      <c r="AE4291" s="304"/>
    </row>
    <row r="4292" spans="28:31" ht="12">
      <c r="AB4292" s="304"/>
      <c r="AC4292" s="304"/>
      <c r="AD4292" s="304"/>
      <c r="AE4292" s="304"/>
    </row>
    <row r="4293" spans="28:31" ht="12">
      <c r="AB4293" s="304"/>
      <c r="AC4293" s="304"/>
      <c r="AD4293" s="304"/>
      <c r="AE4293" s="304"/>
    </row>
    <row r="4294" spans="28:31" ht="12">
      <c r="AB4294" s="304"/>
      <c r="AC4294" s="304"/>
      <c r="AD4294" s="304"/>
      <c r="AE4294" s="304"/>
    </row>
    <row r="4295" spans="28:31" ht="12">
      <c r="AB4295" s="304"/>
      <c r="AC4295" s="304"/>
      <c r="AD4295" s="304"/>
      <c r="AE4295" s="304"/>
    </row>
    <row r="4296" spans="28:31" ht="12">
      <c r="AB4296" s="304"/>
      <c r="AC4296" s="304"/>
      <c r="AD4296" s="304"/>
      <c r="AE4296" s="304"/>
    </row>
    <row r="4297" spans="28:31" ht="12">
      <c r="AB4297" s="304"/>
      <c r="AC4297" s="304"/>
      <c r="AD4297" s="304"/>
      <c r="AE4297" s="304"/>
    </row>
    <row r="4298" spans="28:31" ht="12">
      <c r="AB4298" s="304"/>
      <c r="AC4298" s="304"/>
      <c r="AD4298" s="304"/>
      <c r="AE4298" s="304"/>
    </row>
    <row r="4299" spans="28:31" ht="12">
      <c r="AB4299" s="304"/>
      <c r="AC4299" s="304"/>
      <c r="AD4299" s="304"/>
      <c r="AE4299" s="304"/>
    </row>
    <row r="4300" spans="28:31" ht="12">
      <c r="AB4300" s="304"/>
      <c r="AC4300" s="304"/>
      <c r="AD4300" s="304"/>
      <c r="AE4300" s="304"/>
    </row>
    <row r="4301" spans="28:31" ht="12">
      <c r="AB4301" s="304"/>
      <c r="AC4301" s="304"/>
      <c r="AD4301" s="304"/>
      <c r="AE4301" s="304"/>
    </row>
    <row r="4302" spans="28:31" ht="12">
      <c r="AB4302" s="304"/>
      <c r="AC4302" s="304"/>
      <c r="AD4302" s="304"/>
      <c r="AE4302" s="304"/>
    </row>
    <row r="4303" spans="28:31" ht="12">
      <c r="AB4303" s="304"/>
      <c r="AC4303" s="304"/>
      <c r="AD4303" s="304"/>
      <c r="AE4303" s="304"/>
    </row>
    <row r="4304" spans="28:31" ht="12">
      <c r="AB4304" s="304"/>
      <c r="AC4304" s="304"/>
      <c r="AD4304" s="304"/>
      <c r="AE4304" s="304"/>
    </row>
    <row r="4305" spans="28:31" ht="12">
      <c r="AB4305" s="304"/>
      <c r="AC4305" s="304"/>
      <c r="AD4305" s="304"/>
      <c r="AE4305" s="304"/>
    </row>
    <row r="4306" spans="28:31" ht="12">
      <c r="AB4306" s="304"/>
      <c r="AC4306" s="304"/>
      <c r="AD4306" s="304"/>
      <c r="AE4306" s="304"/>
    </row>
    <row r="4307" spans="28:31" ht="12">
      <c r="AB4307" s="304"/>
      <c r="AC4307" s="304"/>
      <c r="AD4307" s="304"/>
      <c r="AE4307" s="304"/>
    </row>
    <row r="4308" spans="28:31" ht="12">
      <c r="AB4308" s="304"/>
      <c r="AC4308" s="304"/>
      <c r="AD4308" s="304"/>
      <c r="AE4308" s="304"/>
    </row>
    <row r="4309" spans="28:31" ht="12">
      <c r="AB4309" s="304"/>
      <c r="AC4309" s="304"/>
      <c r="AD4309" s="304"/>
      <c r="AE4309" s="304"/>
    </row>
    <row r="4310" spans="28:31" ht="12">
      <c r="AB4310" s="304"/>
      <c r="AC4310" s="304"/>
      <c r="AD4310" s="304"/>
      <c r="AE4310" s="304"/>
    </row>
    <row r="4311" spans="28:31" ht="12">
      <c r="AB4311" s="304"/>
      <c r="AC4311" s="304"/>
      <c r="AD4311" s="304"/>
      <c r="AE4311" s="304"/>
    </row>
    <row r="4312" spans="28:31" ht="12">
      <c r="AB4312" s="304"/>
      <c r="AC4312" s="304"/>
      <c r="AD4312" s="304"/>
      <c r="AE4312" s="304"/>
    </row>
    <row r="4313" spans="28:31" ht="12">
      <c r="AB4313" s="304"/>
      <c r="AC4313" s="304"/>
      <c r="AD4313" s="304"/>
      <c r="AE4313" s="304"/>
    </row>
    <row r="4314" spans="28:31" ht="12">
      <c r="AB4314" s="304"/>
      <c r="AC4314" s="304"/>
      <c r="AD4314" s="304"/>
      <c r="AE4314" s="304"/>
    </row>
    <row r="4315" spans="28:31" ht="12">
      <c r="AB4315" s="304"/>
      <c r="AC4315" s="304"/>
      <c r="AD4315" s="304"/>
      <c r="AE4315" s="304"/>
    </row>
    <row r="4316" spans="28:31" ht="12">
      <c r="AB4316" s="304"/>
      <c r="AC4316" s="304"/>
      <c r="AD4316" s="304"/>
      <c r="AE4316" s="304"/>
    </row>
    <row r="4317" spans="28:31" ht="12">
      <c r="AB4317" s="304"/>
      <c r="AC4317" s="304"/>
      <c r="AD4317" s="304"/>
      <c r="AE4317" s="304"/>
    </row>
    <row r="4318" spans="28:31" ht="12">
      <c r="AB4318" s="304"/>
      <c r="AC4318" s="304"/>
      <c r="AD4318" s="304"/>
      <c r="AE4318" s="304"/>
    </row>
    <row r="4319" spans="28:31" ht="12">
      <c r="AB4319" s="304"/>
      <c r="AC4319" s="304"/>
      <c r="AD4319" s="304"/>
      <c r="AE4319" s="304"/>
    </row>
    <row r="4320" spans="28:31" ht="12">
      <c r="AB4320" s="304"/>
      <c r="AC4320" s="304"/>
      <c r="AD4320" s="304"/>
      <c r="AE4320" s="304"/>
    </row>
    <row r="4321" spans="28:31" ht="12">
      <c r="AB4321" s="304"/>
      <c r="AC4321" s="304"/>
      <c r="AD4321" s="304"/>
      <c r="AE4321" s="304"/>
    </row>
    <row r="4322" spans="28:31" ht="12">
      <c r="AB4322" s="304"/>
      <c r="AC4322" s="304"/>
      <c r="AD4322" s="304"/>
      <c r="AE4322" s="304"/>
    </row>
    <row r="4323" spans="28:31" ht="12">
      <c r="AB4323" s="304"/>
      <c r="AC4323" s="304"/>
      <c r="AD4323" s="304"/>
      <c r="AE4323" s="304"/>
    </row>
    <row r="4324" spans="28:31" ht="12">
      <c r="AB4324" s="304"/>
      <c r="AC4324" s="304"/>
      <c r="AD4324" s="304"/>
      <c r="AE4324" s="304"/>
    </row>
    <row r="4325" spans="28:31" ht="12">
      <c r="AB4325" s="304"/>
      <c r="AC4325" s="304"/>
      <c r="AD4325" s="304"/>
      <c r="AE4325" s="304"/>
    </row>
    <row r="4326" spans="28:31" ht="12">
      <c r="AB4326" s="304"/>
      <c r="AC4326" s="304"/>
      <c r="AD4326" s="304"/>
      <c r="AE4326" s="304"/>
    </row>
    <row r="4327" spans="28:31" ht="12">
      <c r="AB4327" s="304"/>
      <c r="AC4327" s="304"/>
      <c r="AD4327" s="304"/>
      <c r="AE4327" s="304"/>
    </row>
    <row r="4328" spans="28:31" ht="12">
      <c r="AB4328" s="304"/>
      <c r="AC4328" s="304"/>
      <c r="AD4328" s="304"/>
      <c r="AE4328" s="304"/>
    </row>
    <row r="4329" spans="28:31" ht="12">
      <c r="AB4329" s="304"/>
      <c r="AC4329" s="304"/>
      <c r="AD4329" s="304"/>
      <c r="AE4329" s="304"/>
    </row>
    <row r="4330" spans="28:31" ht="12">
      <c r="AB4330" s="304"/>
      <c r="AC4330" s="304"/>
      <c r="AD4330" s="304"/>
      <c r="AE4330" s="304"/>
    </row>
    <row r="4331" spans="28:31" ht="12">
      <c r="AB4331" s="304"/>
      <c r="AC4331" s="304"/>
      <c r="AD4331" s="304"/>
      <c r="AE4331" s="304"/>
    </row>
    <row r="4332" spans="28:31" ht="12">
      <c r="AB4332" s="304"/>
      <c r="AC4332" s="304"/>
      <c r="AD4332" s="304"/>
      <c r="AE4332" s="304"/>
    </row>
    <row r="4333" spans="28:31" ht="12">
      <c r="AB4333" s="304"/>
      <c r="AC4333" s="304"/>
      <c r="AD4333" s="304"/>
      <c r="AE4333" s="304"/>
    </row>
    <row r="4334" spans="28:31" ht="12">
      <c r="AB4334" s="304"/>
      <c r="AC4334" s="304"/>
      <c r="AD4334" s="304"/>
      <c r="AE4334" s="304"/>
    </row>
    <row r="4335" spans="28:31" ht="12">
      <c r="AB4335" s="304"/>
      <c r="AC4335" s="304"/>
      <c r="AD4335" s="304"/>
      <c r="AE4335" s="304"/>
    </row>
    <row r="4336" spans="28:31" ht="12">
      <c r="AB4336" s="304"/>
      <c r="AC4336" s="304"/>
      <c r="AD4336" s="304"/>
      <c r="AE4336" s="304"/>
    </row>
    <row r="4337" spans="28:31" ht="12">
      <c r="AB4337" s="304"/>
      <c r="AC4337" s="304"/>
      <c r="AD4337" s="304"/>
      <c r="AE4337" s="304"/>
    </row>
    <row r="4338" spans="28:31" ht="12">
      <c r="AB4338" s="304"/>
      <c r="AC4338" s="304"/>
      <c r="AD4338" s="304"/>
      <c r="AE4338" s="304"/>
    </row>
    <row r="4339" spans="28:31" ht="12">
      <c r="AB4339" s="304"/>
      <c r="AC4339" s="304"/>
      <c r="AD4339" s="304"/>
      <c r="AE4339" s="304"/>
    </row>
    <row r="4340" spans="28:31" ht="12">
      <c r="AB4340" s="304"/>
      <c r="AC4340" s="304"/>
      <c r="AD4340" s="304"/>
      <c r="AE4340" s="304"/>
    </row>
    <row r="4341" spans="28:31" ht="12">
      <c r="AB4341" s="304"/>
      <c r="AC4341" s="304"/>
      <c r="AD4341" s="304"/>
      <c r="AE4341" s="304"/>
    </row>
    <row r="4342" spans="28:31" ht="12">
      <c r="AB4342" s="304"/>
      <c r="AC4342" s="304"/>
      <c r="AD4342" s="304"/>
      <c r="AE4342" s="304"/>
    </row>
    <row r="4343" spans="28:31" ht="12">
      <c r="AB4343" s="304"/>
      <c r="AC4343" s="304"/>
      <c r="AD4343" s="304"/>
      <c r="AE4343" s="304"/>
    </row>
    <row r="4344" spans="28:31" ht="12">
      <c r="AB4344" s="304"/>
      <c r="AC4344" s="304"/>
      <c r="AD4344" s="304"/>
      <c r="AE4344" s="304"/>
    </row>
    <row r="4345" spans="28:31" ht="12">
      <c r="AB4345" s="304"/>
      <c r="AC4345" s="304"/>
      <c r="AD4345" s="304"/>
      <c r="AE4345" s="304"/>
    </row>
    <row r="4346" spans="28:31" ht="12">
      <c r="AB4346" s="304"/>
      <c r="AC4346" s="304"/>
      <c r="AD4346" s="304"/>
      <c r="AE4346" s="304"/>
    </row>
    <row r="4347" spans="28:31" ht="12">
      <c r="AB4347" s="304"/>
      <c r="AC4347" s="304"/>
      <c r="AD4347" s="304"/>
      <c r="AE4347" s="304"/>
    </row>
    <row r="4348" spans="28:31" ht="12">
      <c r="AB4348" s="304"/>
      <c r="AC4348" s="304"/>
      <c r="AD4348" s="304"/>
      <c r="AE4348" s="304"/>
    </row>
    <row r="4349" spans="28:31" ht="12">
      <c r="AB4349" s="304"/>
      <c r="AC4349" s="304"/>
      <c r="AD4349" s="304"/>
      <c r="AE4349" s="304"/>
    </row>
    <row r="4350" spans="28:31" ht="12">
      <c r="AB4350" s="304"/>
      <c r="AC4350" s="304"/>
      <c r="AD4350" s="304"/>
      <c r="AE4350" s="304"/>
    </row>
    <row r="4351" spans="28:31" ht="12">
      <c r="AB4351" s="304"/>
      <c r="AC4351" s="304"/>
      <c r="AD4351" s="304"/>
      <c r="AE4351" s="304"/>
    </row>
    <row r="4352" spans="28:31" ht="12">
      <c r="AB4352" s="304"/>
      <c r="AC4352" s="304"/>
      <c r="AD4352" s="304"/>
      <c r="AE4352" s="304"/>
    </row>
    <row r="4353" spans="28:31" ht="12">
      <c r="AB4353" s="304"/>
      <c r="AC4353" s="304"/>
      <c r="AD4353" s="304"/>
      <c r="AE4353" s="304"/>
    </row>
    <row r="4354" spans="28:31" ht="12">
      <c r="AB4354" s="304"/>
      <c r="AC4354" s="304"/>
      <c r="AD4354" s="304"/>
      <c r="AE4354" s="304"/>
    </row>
    <row r="4355" spans="28:31" ht="12">
      <c r="AB4355" s="304"/>
      <c r="AC4355" s="304"/>
      <c r="AD4355" s="304"/>
      <c r="AE4355" s="304"/>
    </row>
    <row r="4356" spans="28:31" ht="12">
      <c r="AB4356" s="304"/>
      <c r="AC4356" s="304"/>
      <c r="AD4356" s="304"/>
      <c r="AE4356" s="304"/>
    </row>
    <row r="4357" spans="28:31" ht="12">
      <c r="AB4357" s="304"/>
      <c r="AC4357" s="304"/>
      <c r="AD4357" s="304"/>
      <c r="AE4357" s="304"/>
    </row>
    <row r="4358" spans="28:31" ht="12">
      <c r="AB4358" s="304"/>
      <c r="AC4358" s="304"/>
      <c r="AD4358" s="304"/>
      <c r="AE4358" s="304"/>
    </row>
    <row r="4359" spans="28:31" ht="12">
      <c r="AB4359" s="304"/>
      <c r="AC4359" s="304"/>
      <c r="AD4359" s="304"/>
      <c r="AE4359" s="304"/>
    </row>
    <row r="4360" spans="28:31" ht="12">
      <c r="AB4360" s="304"/>
      <c r="AC4360" s="304"/>
      <c r="AD4360" s="304"/>
      <c r="AE4360" s="304"/>
    </row>
    <row r="4361" spans="28:31" ht="12">
      <c r="AB4361" s="304"/>
      <c r="AC4361" s="304"/>
      <c r="AD4361" s="304"/>
      <c r="AE4361" s="304"/>
    </row>
    <row r="4362" spans="28:31" ht="12">
      <c r="AB4362" s="304"/>
      <c r="AC4362" s="304"/>
      <c r="AD4362" s="304"/>
      <c r="AE4362" s="304"/>
    </row>
    <row r="4363" spans="28:31" ht="12">
      <c r="AB4363" s="304"/>
      <c r="AC4363" s="304"/>
      <c r="AD4363" s="304"/>
      <c r="AE4363" s="304"/>
    </row>
    <row r="4364" spans="28:31" ht="12">
      <c r="AB4364" s="304"/>
      <c r="AC4364" s="304"/>
      <c r="AD4364" s="304"/>
      <c r="AE4364" s="304"/>
    </row>
    <row r="4365" spans="28:31" ht="12">
      <c r="AB4365" s="304"/>
      <c r="AC4365" s="304"/>
      <c r="AD4365" s="304"/>
      <c r="AE4365" s="304"/>
    </row>
    <row r="4366" spans="28:31" ht="12">
      <c r="AB4366" s="304"/>
      <c r="AC4366" s="304"/>
      <c r="AD4366" s="304"/>
      <c r="AE4366" s="304"/>
    </row>
    <row r="4367" spans="28:31" ht="12">
      <c r="AB4367" s="304"/>
      <c r="AC4367" s="304"/>
      <c r="AD4367" s="304"/>
      <c r="AE4367" s="304"/>
    </row>
    <row r="4368" spans="28:31" ht="12">
      <c r="AB4368" s="304"/>
      <c r="AC4368" s="304"/>
      <c r="AD4368" s="304"/>
      <c r="AE4368" s="304"/>
    </row>
    <row r="4369" spans="28:31" ht="12">
      <c r="AB4369" s="304"/>
      <c r="AC4369" s="304"/>
      <c r="AD4369" s="304"/>
      <c r="AE4369" s="304"/>
    </row>
    <row r="4370" spans="28:31" ht="12">
      <c r="AB4370" s="304"/>
      <c r="AC4370" s="304"/>
      <c r="AD4370" s="304"/>
      <c r="AE4370" s="304"/>
    </row>
    <row r="4371" spans="28:31" ht="12">
      <c r="AB4371" s="304"/>
      <c r="AC4371" s="304"/>
      <c r="AD4371" s="304"/>
      <c r="AE4371" s="304"/>
    </row>
    <row r="4372" spans="28:31" ht="12">
      <c r="AB4372" s="304"/>
      <c r="AC4372" s="304"/>
      <c r="AD4372" s="304"/>
      <c r="AE4372" s="304"/>
    </row>
    <row r="4373" spans="28:31" ht="12">
      <c r="AB4373" s="304"/>
      <c r="AC4373" s="304"/>
      <c r="AD4373" s="304"/>
      <c r="AE4373" s="304"/>
    </row>
    <row r="4374" spans="28:31" ht="12">
      <c r="AB4374" s="304"/>
      <c r="AC4374" s="304"/>
      <c r="AD4374" s="304"/>
      <c r="AE4374" s="304"/>
    </row>
    <row r="4375" spans="28:31" ht="12">
      <c r="AB4375" s="304"/>
      <c r="AC4375" s="304"/>
      <c r="AD4375" s="304"/>
      <c r="AE4375" s="304"/>
    </row>
    <row r="4376" spans="28:31" ht="12">
      <c r="AB4376" s="304"/>
      <c r="AC4376" s="304"/>
      <c r="AD4376" s="304"/>
      <c r="AE4376" s="304"/>
    </row>
    <row r="4377" spans="28:31" ht="12">
      <c r="AB4377" s="304"/>
      <c r="AC4377" s="304"/>
      <c r="AD4377" s="304"/>
      <c r="AE4377" s="304"/>
    </row>
    <row r="4378" spans="28:31" ht="12">
      <c r="AB4378" s="304"/>
      <c r="AC4378" s="304"/>
      <c r="AD4378" s="304"/>
      <c r="AE4378" s="304"/>
    </row>
    <row r="4379" spans="28:31" ht="12">
      <c r="AB4379" s="304"/>
      <c r="AC4379" s="304"/>
      <c r="AD4379" s="304"/>
      <c r="AE4379" s="304"/>
    </row>
    <row r="4380" spans="28:31" ht="12">
      <c r="AB4380" s="304"/>
      <c r="AC4380" s="304"/>
      <c r="AD4380" s="304"/>
      <c r="AE4380" s="304"/>
    </row>
    <row r="4381" spans="28:31" ht="12">
      <c r="AB4381" s="304"/>
      <c r="AC4381" s="304"/>
      <c r="AD4381" s="304"/>
      <c r="AE4381" s="304"/>
    </row>
    <row r="4382" spans="28:31" ht="12">
      <c r="AB4382" s="304"/>
      <c r="AC4382" s="304"/>
      <c r="AD4382" s="304"/>
      <c r="AE4382" s="304"/>
    </row>
    <row r="4383" spans="28:31" ht="12">
      <c r="AB4383" s="304"/>
      <c r="AC4383" s="304"/>
      <c r="AD4383" s="304"/>
      <c r="AE4383" s="304"/>
    </row>
    <row r="4384" spans="28:31" ht="12">
      <c r="AB4384" s="304"/>
      <c r="AC4384" s="304"/>
      <c r="AD4384" s="304"/>
      <c r="AE4384" s="304"/>
    </row>
    <row r="4385" spans="28:31" ht="12">
      <c r="AB4385" s="304"/>
      <c r="AC4385" s="304"/>
      <c r="AD4385" s="304"/>
      <c r="AE4385" s="304"/>
    </row>
    <row r="4386" spans="28:31" ht="12">
      <c r="AB4386" s="304"/>
      <c r="AC4386" s="304"/>
      <c r="AD4386" s="304"/>
      <c r="AE4386" s="304"/>
    </row>
    <row r="4387" spans="28:31" ht="12">
      <c r="AB4387" s="304"/>
      <c r="AC4387" s="304"/>
      <c r="AD4387" s="304"/>
      <c r="AE4387" s="304"/>
    </row>
    <row r="4388" spans="28:31" ht="12">
      <c r="AB4388" s="304"/>
      <c r="AC4388" s="304"/>
      <c r="AD4388" s="304"/>
      <c r="AE4388" s="304"/>
    </row>
    <row r="4389" spans="28:31" ht="12">
      <c r="AB4389" s="304"/>
      <c r="AC4389" s="304"/>
      <c r="AD4389" s="304"/>
      <c r="AE4389" s="304"/>
    </row>
    <row r="4390" spans="28:31" ht="12">
      <c r="AB4390" s="304"/>
      <c r="AC4390" s="304"/>
      <c r="AD4390" s="304"/>
      <c r="AE4390" s="304"/>
    </row>
    <row r="4391" spans="28:31" ht="12">
      <c r="AB4391" s="304"/>
      <c r="AC4391" s="304"/>
      <c r="AD4391" s="304"/>
      <c r="AE4391" s="304"/>
    </row>
    <row r="4392" spans="28:31" ht="12">
      <c r="AB4392" s="304"/>
      <c r="AC4392" s="304"/>
      <c r="AD4392" s="304"/>
      <c r="AE4392" s="304"/>
    </row>
    <row r="4393" spans="28:31" ht="12">
      <c r="AB4393" s="304"/>
      <c r="AC4393" s="304"/>
      <c r="AD4393" s="304"/>
      <c r="AE4393" s="304"/>
    </row>
    <row r="4394" spans="28:31" ht="12">
      <c r="AB4394" s="304"/>
      <c r="AC4394" s="304"/>
      <c r="AD4394" s="304"/>
      <c r="AE4394" s="304"/>
    </row>
    <row r="4395" spans="28:31" ht="12">
      <c r="AB4395" s="304"/>
      <c r="AC4395" s="304"/>
      <c r="AD4395" s="304"/>
      <c r="AE4395" s="304"/>
    </row>
    <row r="4396" spans="28:31" ht="12">
      <c r="AB4396" s="304"/>
      <c r="AC4396" s="304"/>
      <c r="AD4396" s="304"/>
      <c r="AE4396" s="304"/>
    </row>
    <row r="4397" spans="28:31" ht="12">
      <c r="AB4397" s="304"/>
      <c r="AC4397" s="304"/>
      <c r="AD4397" s="304"/>
      <c r="AE4397" s="304"/>
    </row>
    <row r="4398" spans="28:31" ht="12">
      <c r="AB4398" s="304"/>
      <c r="AC4398" s="304"/>
      <c r="AD4398" s="304"/>
      <c r="AE4398" s="304"/>
    </row>
    <row r="4399" spans="28:31" ht="12">
      <c r="AB4399" s="304"/>
      <c r="AC4399" s="304"/>
      <c r="AD4399" s="304"/>
      <c r="AE4399" s="304"/>
    </row>
    <row r="4400" spans="28:31" ht="12">
      <c r="AB4400" s="304"/>
      <c r="AC4400" s="304"/>
      <c r="AD4400" s="304"/>
      <c r="AE4400" s="304"/>
    </row>
    <row r="4401" spans="28:31" ht="12">
      <c r="AB4401" s="304"/>
      <c r="AC4401" s="304"/>
      <c r="AD4401" s="304"/>
      <c r="AE4401" s="304"/>
    </row>
    <row r="4402" spans="28:31" ht="12">
      <c r="AB4402" s="304"/>
      <c r="AC4402" s="304"/>
      <c r="AD4402" s="304"/>
      <c r="AE4402" s="304"/>
    </row>
    <row r="4403" spans="28:31" ht="12">
      <c r="AB4403" s="304"/>
      <c r="AC4403" s="304"/>
      <c r="AD4403" s="304"/>
      <c r="AE4403" s="304"/>
    </row>
    <row r="4404" spans="28:31" ht="12">
      <c r="AB4404" s="304"/>
      <c r="AC4404" s="304"/>
      <c r="AD4404" s="304"/>
      <c r="AE4404" s="304"/>
    </row>
    <row r="4405" spans="28:31" ht="12">
      <c r="AB4405" s="304"/>
      <c r="AC4405" s="304"/>
      <c r="AD4405" s="304"/>
      <c r="AE4405" s="304"/>
    </row>
    <row r="4406" spans="28:31" ht="12">
      <c r="AB4406" s="304"/>
      <c r="AC4406" s="304"/>
      <c r="AD4406" s="304"/>
      <c r="AE4406" s="304"/>
    </row>
    <row r="4407" spans="28:31" ht="12">
      <c r="AB4407" s="304"/>
      <c r="AC4407" s="304"/>
      <c r="AD4407" s="304"/>
      <c r="AE4407" s="304"/>
    </row>
    <row r="4408" spans="28:31" ht="12">
      <c r="AB4408" s="304"/>
      <c r="AC4408" s="304"/>
      <c r="AD4408" s="304"/>
      <c r="AE4408" s="304"/>
    </row>
    <row r="4409" spans="28:31" ht="12">
      <c r="AB4409" s="304"/>
      <c r="AC4409" s="304"/>
      <c r="AD4409" s="304"/>
      <c r="AE4409" s="304"/>
    </row>
    <row r="4410" spans="28:31" ht="12">
      <c r="AB4410" s="304"/>
      <c r="AC4410" s="304"/>
      <c r="AD4410" s="304"/>
      <c r="AE4410" s="304"/>
    </row>
    <row r="4411" spans="28:31" ht="12">
      <c r="AB4411" s="304"/>
      <c r="AC4411" s="304"/>
      <c r="AD4411" s="304"/>
      <c r="AE4411" s="30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3" sqref="B22:B23"/>
    </sheetView>
  </sheetViews>
  <sheetFormatPr defaultColWidth="9.00390625" defaultRowHeight="12.75"/>
  <cols>
    <col min="1" max="1" width="6.625" style="37" bestFit="1" customWidth="1"/>
    <col min="2" max="2" width="40.75390625" style="37" bestFit="1" customWidth="1"/>
    <col min="3" max="3" width="31.625" style="37" customWidth="1"/>
    <col min="4" max="16384" width="9.125" style="37" customWidth="1"/>
  </cols>
  <sheetData>
    <row r="1" spans="1:3" ht="12">
      <c r="A1" s="413" t="s">
        <v>319</v>
      </c>
      <c r="B1" s="414"/>
      <c r="C1" s="415"/>
    </row>
    <row r="2" spans="1:3" ht="12">
      <c r="A2" s="520"/>
      <c r="B2" s="521"/>
      <c r="C2" s="522"/>
    </row>
    <row r="3" spans="1:3" ht="12">
      <c r="A3" s="416"/>
      <c r="B3" s="417"/>
      <c r="C3" s="418"/>
    </row>
    <row r="4" spans="1:3" ht="12">
      <c r="A4" s="356" t="s">
        <v>320</v>
      </c>
      <c r="B4" s="407" t="s">
        <v>321</v>
      </c>
      <c r="C4" s="356" t="s">
        <v>322</v>
      </c>
    </row>
    <row r="5" spans="1:3" ht="12">
      <c r="A5" s="456"/>
      <c r="B5" s="523"/>
      <c r="C5" s="456"/>
    </row>
    <row r="6" spans="1:3" ht="12.75" thickBot="1">
      <c r="A6" s="457"/>
      <c r="B6" s="524"/>
      <c r="C6" s="457"/>
    </row>
    <row r="7" spans="1:3" ht="12.75" thickTop="1">
      <c r="A7" s="41"/>
      <c r="B7" s="41"/>
      <c r="C7" s="42"/>
    </row>
    <row r="8" spans="1:3" ht="12">
      <c r="A8" s="43"/>
      <c r="B8" s="41"/>
      <c r="C8" s="42"/>
    </row>
    <row r="9" spans="1:3" ht="12">
      <c r="A9" s="43" t="s">
        <v>323</v>
      </c>
      <c r="B9" s="41" t="s">
        <v>324</v>
      </c>
      <c r="C9" s="42" t="s">
        <v>325</v>
      </c>
    </row>
    <row r="10" spans="1:3" ht="12">
      <c r="A10" s="43" t="s">
        <v>326</v>
      </c>
      <c r="B10" s="41" t="s">
        <v>350</v>
      </c>
      <c r="C10" s="42" t="s">
        <v>327</v>
      </c>
    </row>
    <row r="11" spans="1:3" ht="12">
      <c r="A11" s="43" t="s">
        <v>328</v>
      </c>
      <c r="B11" s="41" t="s">
        <v>330</v>
      </c>
      <c r="C11" s="42" t="s">
        <v>327</v>
      </c>
    </row>
    <row r="12" spans="1:3" ht="12">
      <c r="A12" s="43" t="s">
        <v>329</v>
      </c>
      <c r="B12" s="41" t="s">
        <v>332</v>
      </c>
      <c r="C12" s="42" t="s">
        <v>327</v>
      </c>
    </row>
    <row r="13" spans="1:3" ht="12">
      <c r="A13" s="43" t="s">
        <v>331</v>
      </c>
      <c r="B13" s="41" t="s">
        <v>334</v>
      </c>
      <c r="C13" s="42" t="s">
        <v>327</v>
      </c>
    </row>
    <row r="14" spans="1:3" ht="12">
      <c r="A14" s="43" t="s">
        <v>333</v>
      </c>
      <c r="B14" s="41" t="s">
        <v>336</v>
      </c>
      <c r="C14" s="42" t="s">
        <v>327</v>
      </c>
    </row>
    <row r="15" spans="1:3" ht="12">
      <c r="A15" s="43"/>
      <c r="B15" s="41"/>
      <c r="C15" s="42"/>
    </row>
    <row r="16" spans="1:3" ht="12">
      <c r="A16" s="49"/>
      <c r="B16" s="49"/>
      <c r="C16" s="52"/>
    </row>
  </sheetData>
  <sheetProtection/>
  <mergeCells count="4">
    <mergeCell ref="A1:C3"/>
    <mergeCell ref="A4:A6"/>
    <mergeCell ref="B4:B6"/>
    <mergeCell ref="C4:C6"/>
  </mergeCells>
  <printOptions horizontalCentered="1"/>
  <pageMargins left="0.5905511811023623" right="0.5905511811023623" top="3.1496062992125986" bottom="0.984251968503937" header="1.3779527559055118" footer="0.5118110236220472"/>
  <pageSetup firstPageNumber="1" useFirstPageNumber="1" horizontalDpi="180" verticalDpi="180" orientation="portrait" paperSize="9" r:id="rId1"/>
  <headerFooter alignWithMargins="0">
    <oddHeader>&amp;C
&amp;"Arial,Félkövér dőlt"&amp;12Tiszagyulaháza község 2008.évi költségvetésének címrendje&amp;R&amp;"Arial,Dőlt"&amp;8 1.számú melléklet &amp;"Arial CE,Normál"&amp;10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8.25390625" style="37" bestFit="1" customWidth="1"/>
    <col min="2" max="3" width="12.875" style="55" bestFit="1" customWidth="1"/>
    <col min="4" max="4" width="11.875" style="55" bestFit="1" customWidth="1"/>
    <col min="5" max="16384" width="9.125" style="37" customWidth="1"/>
  </cols>
  <sheetData>
    <row r="1" spans="1:4" ht="12">
      <c r="A1" s="356" t="s">
        <v>338</v>
      </c>
      <c r="B1" s="366" t="s">
        <v>339</v>
      </c>
      <c r="C1" s="525"/>
      <c r="D1" s="401"/>
    </row>
    <row r="2" spans="1:4" ht="12">
      <c r="A2" s="353"/>
      <c r="B2" s="526"/>
      <c r="C2" s="527"/>
      <c r="D2" s="528"/>
    </row>
    <row r="3" spans="1:4" ht="12">
      <c r="A3" s="353"/>
      <c r="B3" s="405" t="s">
        <v>340</v>
      </c>
      <c r="C3" s="529" t="s">
        <v>341</v>
      </c>
      <c r="D3" s="402"/>
    </row>
    <row r="4" spans="1:4" ht="12">
      <c r="A4" s="353"/>
      <c r="B4" s="405"/>
      <c r="C4" s="526"/>
      <c r="D4" s="528"/>
    </row>
    <row r="5" spans="1:4" ht="12">
      <c r="A5" s="353"/>
      <c r="B5" s="405"/>
      <c r="C5" s="405" t="s">
        <v>342</v>
      </c>
      <c r="D5" s="402" t="s">
        <v>343</v>
      </c>
    </row>
    <row r="6" spans="1:4" ht="12.75" thickBot="1">
      <c r="A6" s="352"/>
      <c r="B6" s="406"/>
      <c r="C6" s="406"/>
      <c r="D6" s="403"/>
    </row>
    <row r="7" spans="1:4" ht="12.75" thickTop="1">
      <c r="A7" s="41"/>
      <c r="B7" s="146"/>
      <c r="C7" s="5"/>
      <c r="D7" s="44"/>
    </row>
    <row r="8" spans="1:4" ht="12">
      <c r="A8" s="41"/>
      <c r="B8" s="5"/>
      <c r="C8" s="5"/>
      <c r="D8" s="44"/>
    </row>
    <row r="9" spans="1:4" ht="12">
      <c r="A9" s="41" t="s">
        <v>146</v>
      </c>
      <c r="B9" s="5">
        <f aca="true" t="shared" si="0" ref="B9:B48">C9+D9</f>
        <v>6668</v>
      </c>
      <c r="C9" s="5">
        <f>beö!AD6</f>
        <v>6668</v>
      </c>
      <c r="D9" s="44">
        <v>0</v>
      </c>
    </row>
    <row r="10" spans="1:4" ht="12">
      <c r="A10" s="41" t="s">
        <v>344</v>
      </c>
      <c r="B10" s="5">
        <f t="shared" si="0"/>
        <v>0</v>
      </c>
      <c r="C10" s="5">
        <f>beö!AD10</f>
        <v>0</v>
      </c>
      <c r="D10" s="44">
        <v>0</v>
      </c>
    </row>
    <row r="11" spans="1:4" ht="12">
      <c r="A11" s="41" t="s">
        <v>345</v>
      </c>
      <c r="B11" s="5">
        <f t="shared" si="0"/>
        <v>230</v>
      </c>
      <c r="C11" s="5">
        <f>beö!AD18</f>
        <v>230</v>
      </c>
      <c r="D11" s="44">
        <v>0</v>
      </c>
    </row>
    <row r="12" spans="1:4" ht="12">
      <c r="A12" s="41" t="s">
        <v>346</v>
      </c>
      <c r="B12" s="5">
        <f t="shared" si="0"/>
        <v>1344</v>
      </c>
      <c r="C12" s="5">
        <f>beö!AD23</f>
        <v>1344</v>
      </c>
      <c r="D12" s="44">
        <v>0</v>
      </c>
    </row>
    <row r="13" spans="1:4" ht="12">
      <c r="A13" s="41" t="s">
        <v>1107</v>
      </c>
      <c r="B13" s="5">
        <f t="shared" si="0"/>
        <v>10</v>
      </c>
      <c r="C13" s="5">
        <f>beö!AD30</f>
        <v>10</v>
      </c>
      <c r="D13" s="44">
        <v>0</v>
      </c>
    </row>
    <row r="14" spans="1:4" s="61" customFormat="1" ht="12">
      <c r="A14" s="56" t="s">
        <v>411</v>
      </c>
      <c r="B14" s="58">
        <f t="shared" si="0"/>
        <v>8252</v>
      </c>
      <c r="C14" s="58">
        <f>SUM(C9:C13)</f>
        <v>8252</v>
      </c>
      <c r="D14" s="59">
        <f>SUM(D9:D13)</f>
        <v>0</v>
      </c>
    </row>
    <row r="15" spans="1:4" ht="12">
      <c r="A15" s="41" t="s">
        <v>412</v>
      </c>
      <c r="B15" s="5">
        <f t="shared" si="0"/>
        <v>0</v>
      </c>
      <c r="C15" s="5"/>
      <c r="D15" s="44"/>
    </row>
    <row r="16" spans="1:4" ht="12">
      <c r="A16" s="41" t="s">
        <v>379</v>
      </c>
      <c r="B16" s="5">
        <f t="shared" si="0"/>
        <v>2042</v>
      </c>
      <c r="C16" s="5"/>
      <c r="D16" s="5">
        <f>beö!AD57</f>
        <v>2042</v>
      </c>
    </row>
    <row r="17" spans="1:4" ht="12">
      <c r="A17" s="41" t="s">
        <v>413</v>
      </c>
      <c r="B17" s="5">
        <f t="shared" si="0"/>
        <v>60</v>
      </c>
      <c r="C17" s="5">
        <f>beö!AD58</f>
        <v>60</v>
      </c>
      <c r="D17" s="44"/>
    </row>
    <row r="18" spans="1:4" ht="12">
      <c r="A18" s="41" t="s">
        <v>1340</v>
      </c>
      <c r="B18" s="5">
        <f t="shared" si="0"/>
        <v>1650</v>
      </c>
      <c r="C18" s="5">
        <f>beö!AD59</f>
        <v>1650</v>
      </c>
      <c r="D18" s="44"/>
    </row>
    <row r="19" spans="1:4" ht="12">
      <c r="A19" s="41" t="s">
        <v>414</v>
      </c>
      <c r="B19" s="5">
        <f t="shared" si="0"/>
        <v>129</v>
      </c>
      <c r="C19" s="5">
        <f>beö!AD60</f>
        <v>129</v>
      </c>
      <c r="D19" s="44"/>
    </row>
    <row r="20" spans="1:4" s="9" customFormat="1" ht="12">
      <c r="A20" s="2" t="s">
        <v>382</v>
      </c>
      <c r="B20" s="4">
        <f t="shared" si="0"/>
        <v>3881</v>
      </c>
      <c r="C20" s="4">
        <f>SUM(C16:C19)</f>
        <v>1839</v>
      </c>
      <c r="D20" s="8">
        <f>SUM(D16:D19)</f>
        <v>2042</v>
      </c>
    </row>
    <row r="21" spans="1:4" ht="12">
      <c r="A21" s="41" t="s">
        <v>415</v>
      </c>
      <c r="B21" s="5">
        <f t="shared" si="0"/>
        <v>0</v>
      </c>
      <c r="C21" s="5"/>
      <c r="D21" s="44"/>
    </row>
    <row r="22" spans="1:4" ht="12">
      <c r="A22" s="41" t="s">
        <v>416</v>
      </c>
      <c r="B22" s="5">
        <f t="shared" si="0"/>
        <v>28957</v>
      </c>
      <c r="C22" s="5">
        <v>28957</v>
      </c>
      <c r="D22" s="44"/>
    </row>
    <row r="23" spans="1:4" ht="12">
      <c r="A23" s="41" t="s">
        <v>417</v>
      </c>
      <c r="B23" s="5">
        <f t="shared" si="0"/>
        <v>2240</v>
      </c>
      <c r="C23" s="5">
        <f>beö!AD66</f>
        <v>2240</v>
      </c>
      <c r="D23" s="44"/>
    </row>
    <row r="24" spans="1:4" ht="12">
      <c r="A24" s="41" t="s">
        <v>1360</v>
      </c>
      <c r="B24" s="5">
        <f t="shared" si="0"/>
        <v>0</v>
      </c>
      <c r="C24" s="5">
        <f>beö!AD67</f>
        <v>0</v>
      </c>
      <c r="D24" s="44"/>
    </row>
    <row r="25" spans="1:4" ht="12">
      <c r="A25" s="41" t="s">
        <v>1415</v>
      </c>
      <c r="B25" s="5">
        <f t="shared" si="0"/>
        <v>0</v>
      </c>
      <c r="C25" s="5">
        <f>beö!AD68</f>
        <v>0</v>
      </c>
      <c r="D25" s="44"/>
    </row>
    <row r="26" spans="1:4" s="9" customFormat="1" ht="12">
      <c r="A26" s="2" t="s">
        <v>1361</v>
      </c>
      <c r="B26" s="4">
        <f t="shared" si="0"/>
        <v>31197</v>
      </c>
      <c r="C26" s="4">
        <f>SUM(C22:C25)</f>
        <v>31197</v>
      </c>
      <c r="D26" s="8">
        <f>SUM(D22:D25)</f>
        <v>0</v>
      </c>
    </row>
    <row r="27" spans="1:4" ht="12">
      <c r="A27" s="41" t="s">
        <v>1026</v>
      </c>
      <c r="B27" s="5">
        <f t="shared" si="0"/>
        <v>4</v>
      </c>
      <c r="C27" s="5">
        <f>beö!AD72</f>
        <v>4</v>
      </c>
      <c r="D27" s="44"/>
    </row>
    <row r="28" spans="1:4" s="61" customFormat="1" ht="12">
      <c r="A28" s="56" t="s">
        <v>1362</v>
      </c>
      <c r="B28" s="58">
        <f t="shared" si="0"/>
        <v>35082</v>
      </c>
      <c r="C28" s="58">
        <f>C20+C26+C27</f>
        <v>33040</v>
      </c>
      <c r="D28" s="59">
        <f>D20+D26+D27</f>
        <v>2042</v>
      </c>
    </row>
    <row r="29" spans="1:4" ht="12">
      <c r="A29" s="41" t="s">
        <v>1112</v>
      </c>
      <c r="B29" s="5">
        <f t="shared" si="0"/>
        <v>0</v>
      </c>
      <c r="C29" s="5">
        <v>0</v>
      </c>
      <c r="D29" s="44">
        <f>beö!AD35</f>
        <v>0</v>
      </c>
    </row>
    <row r="30" spans="1:4" ht="12">
      <c r="A30" s="41" t="s">
        <v>530</v>
      </c>
      <c r="B30" s="5">
        <f t="shared" si="0"/>
        <v>0</v>
      </c>
      <c r="C30" s="5"/>
      <c r="D30" s="44">
        <f>beö!AD36</f>
        <v>0</v>
      </c>
    </row>
    <row r="31" spans="1:4" ht="12">
      <c r="A31" s="41" t="s">
        <v>531</v>
      </c>
      <c r="B31" s="5">
        <f t="shared" si="0"/>
        <v>0</v>
      </c>
      <c r="C31" s="5"/>
      <c r="D31" s="44">
        <f>beö!AD40</f>
        <v>0</v>
      </c>
    </row>
    <row r="32" spans="1:4" s="61" customFormat="1" ht="12">
      <c r="A32" s="56" t="s">
        <v>532</v>
      </c>
      <c r="B32" s="58">
        <f t="shared" si="0"/>
        <v>0</v>
      </c>
      <c r="C32" s="58">
        <f>SUM(C29:C31)</f>
        <v>0</v>
      </c>
      <c r="D32" s="59">
        <f>SUM(D29:D31)</f>
        <v>0</v>
      </c>
    </row>
    <row r="33" spans="1:4" ht="12">
      <c r="A33" s="41" t="s">
        <v>533</v>
      </c>
      <c r="B33" s="5">
        <f>C33+D33</f>
        <v>17679</v>
      </c>
      <c r="C33" s="5">
        <v>15651</v>
      </c>
      <c r="D33" s="44">
        <v>2028</v>
      </c>
    </row>
    <row r="34" spans="1:4" ht="12">
      <c r="A34" s="41" t="s">
        <v>534</v>
      </c>
      <c r="B34" s="5">
        <f t="shared" si="0"/>
        <v>810</v>
      </c>
      <c r="C34" s="5">
        <f>beö!AD75</f>
        <v>810</v>
      </c>
      <c r="D34" s="44"/>
    </row>
    <row r="35" spans="1:4" ht="12">
      <c r="A35" s="41" t="s">
        <v>535</v>
      </c>
      <c r="B35" s="5">
        <f t="shared" si="0"/>
        <v>20040</v>
      </c>
      <c r="C35" s="5">
        <f>beö!AD78+beö!AD79</f>
        <v>20040</v>
      </c>
      <c r="D35" s="44"/>
    </row>
    <row r="36" spans="1:4" ht="12">
      <c r="A36" s="41" t="s">
        <v>803</v>
      </c>
      <c r="B36" s="5">
        <f t="shared" si="0"/>
        <v>12000</v>
      </c>
      <c r="C36" s="5">
        <f>beö!AD76</f>
        <v>12000</v>
      </c>
      <c r="D36" s="44"/>
    </row>
    <row r="37" spans="1:4" ht="12">
      <c r="A37" s="41" t="s">
        <v>804</v>
      </c>
      <c r="B37" s="5">
        <v>1560</v>
      </c>
      <c r="C37" s="5">
        <v>1560</v>
      </c>
      <c r="D37" s="44">
        <f>beö!AD81</f>
        <v>0</v>
      </c>
    </row>
    <row r="38" spans="1:4" s="9" customFormat="1" ht="12">
      <c r="A38" s="2" t="s">
        <v>536</v>
      </c>
      <c r="B38" s="4">
        <f>C38+D38</f>
        <v>52089</v>
      </c>
      <c r="C38" s="4">
        <f>SUM(C33:C37)</f>
        <v>50061</v>
      </c>
      <c r="D38" s="8">
        <f>SUM(D33:D37)</f>
        <v>2028</v>
      </c>
    </row>
    <row r="39" spans="1:4" ht="12">
      <c r="A39" s="41" t="s">
        <v>537</v>
      </c>
      <c r="B39" s="5">
        <f t="shared" si="0"/>
        <v>190</v>
      </c>
      <c r="C39" s="5">
        <f>beö!AD49</f>
        <v>190</v>
      </c>
      <c r="D39" s="44">
        <v>0</v>
      </c>
    </row>
    <row r="40" spans="1:4" ht="12">
      <c r="A40" s="41" t="s">
        <v>1420</v>
      </c>
      <c r="B40" s="5">
        <f>C40+D40</f>
        <v>12686</v>
      </c>
      <c r="C40" s="5">
        <f>beö!AD55</f>
        <v>12686</v>
      </c>
      <c r="D40" s="44">
        <v>0</v>
      </c>
    </row>
    <row r="41" spans="1:4" s="9" customFormat="1" ht="12">
      <c r="A41" s="2" t="s">
        <v>1374</v>
      </c>
      <c r="B41" s="4">
        <f>C41+D41</f>
        <v>12876</v>
      </c>
      <c r="C41" s="4">
        <f>SUM(C39:C40)</f>
        <v>12876</v>
      </c>
      <c r="D41" s="8">
        <f>SUM(D39:D40)</f>
        <v>0</v>
      </c>
    </row>
    <row r="42" spans="1:4" ht="12">
      <c r="A42" s="41" t="s">
        <v>1375</v>
      </c>
      <c r="B42" s="5">
        <f t="shared" si="0"/>
        <v>0</v>
      </c>
      <c r="C42" s="5">
        <v>0</v>
      </c>
      <c r="D42" s="44">
        <f>beö!AD45</f>
        <v>0</v>
      </c>
    </row>
    <row r="43" spans="1:4" ht="12">
      <c r="A43" s="41" t="s">
        <v>1406</v>
      </c>
      <c r="B43" s="5">
        <f t="shared" si="0"/>
        <v>0</v>
      </c>
      <c r="C43" s="5">
        <v>0</v>
      </c>
      <c r="D43" s="44"/>
    </row>
    <row r="44" spans="1:4" s="9" customFormat="1" ht="12">
      <c r="A44" s="2" t="s">
        <v>1408</v>
      </c>
      <c r="B44" s="4">
        <f t="shared" si="0"/>
        <v>0</v>
      </c>
      <c r="C44" s="4">
        <f>SUM(C42:C43)</f>
        <v>0</v>
      </c>
      <c r="D44" s="8">
        <f>SUM(D42:D43)</f>
        <v>0</v>
      </c>
    </row>
    <row r="45" spans="1:4" s="61" customFormat="1" ht="12">
      <c r="A45" s="56" t="s">
        <v>1409</v>
      </c>
      <c r="B45" s="58">
        <f>C45+D45</f>
        <v>64965</v>
      </c>
      <c r="C45" s="58">
        <f>C38+C41+C44</f>
        <v>62937</v>
      </c>
      <c r="D45" s="58">
        <f>D38+D41+D44</f>
        <v>2028</v>
      </c>
    </row>
    <row r="46" spans="1:4" ht="12">
      <c r="A46" s="41" t="s">
        <v>638</v>
      </c>
      <c r="B46" s="5">
        <v>19763</v>
      </c>
      <c r="C46" s="5">
        <v>19763</v>
      </c>
      <c r="D46" s="44">
        <v>0</v>
      </c>
    </row>
    <row r="47" spans="1:4" ht="12">
      <c r="A47" s="41" t="s">
        <v>1550</v>
      </c>
      <c r="B47" s="5">
        <f t="shared" si="0"/>
        <v>0</v>
      </c>
      <c r="C47" s="5"/>
      <c r="D47" s="44">
        <f>beö!AD88</f>
        <v>0</v>
      </c>
    </row>
    <row r="48" spans="1:4" ht="12">
      <c r="A48" s="41" t="s">
        <v>1410</v>
      </c>
      <c r="B48" s="5">
        <f t="shared" si="0"/>
        <v>0</v>
      </c>
      <c r="C48" s="5">
        <v>0</v>
      </c>
      <c r="D48" s="44">
        <v>0</v>
      </c>
    </row>
    <row r="49" spans="1:4" s="61" customFormat="1" ht="12">
      <c r="A49" s="56" t="s">
        <v>1411</v>
      </c>
      <c r="B49" s="58">
        <f>B46</f>
        <v>19763</v>
      </c>
      <c r="C49" s="58">
        <f>C46</f>
        <v>19763</v>
      </c>
      <c r="D49" s="59">
        <f>SUM(D46:D48)</f>
        <v>0</v>
      </c>
    </row>
    <row r="50" spans="1:4" s="145" customFormat="1" ht="12">
      <c r="A50" s="148" t="s">
        <v>1414</v>
      </c>
      <c r="B50" s="58">
        <f>C50+D50</f>
        <v>128062</v>
      </c>
      <c r="C50" s="147">
        <f>C14+C28+C32+C45+C49</f>
        <v>123992</v>
      </c>
      <c r="D50" s="149">
        <f>D14+D28+D32+D45+D49</f>
        <v>4070</v>
      </c>
    </row>
    <row r="51" spans="1:4" ht="12">
      <c r="A51" s="49"/>
      <c r="B51" s="51"/>
      <c r="C51" s="51"/>
      <c r="D51" s="53"/>
    </row>
  </sheetData>
  <sheetProtection/>
  <mergeCells count="6">
    <mergeCell ref="A1:A6"/>
    <mergeCell ref="B1:D2"/>
    <mergeCell ref="C3:D4"/>
    <mergeCell ref="B3:B6"/>
    <mergeCell ref="C5:C6"/>
    <mergeCell ref="D5:D6"/>
  </mergeCells>
  <printOptions/>
  <pageMargins left="0.7874015748031497" right="0.7874015748031497" top="1.535433070866142" bottom="0.5511811023622047" header="0.5118110236220472" footer="0.2755905511811024"/>
  <pageSetup horizontalDpi="600" verticalDpi="600" orientation="portrait" paperSize="9" r:id="rId1"/>
  <headerFooter alignWithMargins="0">
    <oddHeader>&amp;C
&amp;"Arial,Félkövér dőlt"&amp;12Tiszagyulaháza község 2008.évi költségvetési bevételeinek
 részletezése bevételi forrásonként&amp;R&amp;"Arial,Dőlt"&amp;8 2.számú melléklet
adatok ezer forintban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H61" sqref="H61"/>
    </sheetView>
  </sheetViews>
  <sheetFormatPr defaultColWidth="9.00390625" defaultRowHeight="12.75"/>
  <cols>
    <col min="1" max="1" width="4.75390625" style="133" customWidth="1"/>
    <col min="2" max="2" width="4.75390625" style="37" customWidth="1"/>
    <col min="3" max="3" width="39.625" style="37" bestFit="1" customWidth="1"/>
    <col min="4" max="5" width="12.875" style="55" bestFit="1" customWidth="1"/>
    <col min="6" max="6" width="13.125" style="55" bestFit="1" customWidth="1"/>
    <col min="7" max="16384" width="9.125" style="37" customWidth="1"/>
  </cols>
  <sheetData>
    <row r="1" spans="1:6" ht="12">
      <c r="A1" s="413" t="s">
        <v>1416</v>
      </c>
      <c r="B1" s="415"/>
      <c r="C1" s="356" t="s">
        <v>338</v>
      </c>
      <c r="D1" s="525" t="s">
        <v>1417</v>
      </c>
      <c r="E1" s="525"/>
      <c r="F1" s="401"/>
    </row>
    <row r="2" spans="1:6" ht="12">
      <c r="A2" s="416"/>
      <c r="B2" s="418"/>
      <c r="C2" s="353"/>
      <c r="D2" s="527"/>
      <c r="E2" s="527"/>
      <c r="F2" s="528"/>
    </row>
    <row r="3" spans="1:6" ht="12">
      <c r="A3" s="515" t="s">
        <v>320</v>
      </c>
      <c r="B3" s="531" t="s">
        <v>1418</v>
      </c>
      <c r="C3" s="353"/>
      <c r="D3" s="404" t="s">
        <v>242</v>
      </c>
      <c r="E3" s="525" t="s">
        <v>341</v>
      </c>
      <c r="F3" s="401"/>
    </row>
    <row r="4" spans="1:6" ht="12">
      <c r="A4" s="516"/>
      <c r="B4" s="531"/>
      <c r="C4" s="353"/>
      <c r="D4" s="405"/>
      <c r="E4" s="527"/>
      <c r="F4" s="528"/>
    </row>
    <row r="5" spans="1:6" ht="12">
      <c r="A5" s="516"/>
      <c r="B5" s="531"/>
      <c r="C5" s="353"/>
      <c r="D5" s="405"/>
      <c r="E5" s="404" t="s">
        <v>1419</v>
      </c>
      <c r="F5" s="401" t="s">
        <v>343</v>
      </c>
    </row>
    <row r="6" spans="1:6" ht="12.75" thickBot="1">
      <c r="A6" s="517"/>
      <c r="B6" s="533"/>
      <c r="C6" s="352"/>
      <c r="D6" s="406"/>
      <c r="E6" s="406"/>
      <c r="F6" s="530"/>
    </row>
    <row r="7" spans="1:6" ht="12.75" thickTop="1">
      <c r="A7" s="38"/>
      <c r="B7" s="150"/>
      <c r="C7" s="41"/>
      <c r="D7" s="146"/>
      <c r="E7" s="5"/>
      <c r="F7" s="44"/>
    </row>
    <row r="8" spans="1:6" ht="12">
      <c r="A8" s="43"/>
      <c r="B8" s="42"/>
      <c r="C8" s="41"/>
      <c r="D8" s="5"/>
      <c r="E8" s="5"/>
      <c r="F8" s="44"/>
    </row>
    <row r="9" spans="1:6" ht="12">
      <c r="A9" s="43">
        <v>10</v>
      </c>
      <c r="B9" s="531" t="s">
        <v>1440</v>
      </c>
      <c r="C9" s="56" t="s">
        <v>1431</v>
      </c>
      <c r="D9" s="58">
        <f aca="true" t="shared" si="0" ref="D9:D14">E9+F9</f>
        <v>28246</v>
      </c>
      <c r="E9" s="58">
        <f>E10+E11+E12+E13+E14</f>
        <v>28246</v>
      </c>
      <c r="F9" s="59">
        <f>F10+F11+F12+F13+F14</f>
        <v>0</v>
      </c>
    </row>
    <row r="10" spans="1:6" ht="12">
      <c r="A10" s="43"/>
      <c r="B10" s="531"/>
      <c r="C10" s="41" t="s">
        <v>1432</v>
      </c>
      <c r="D10" s="5">
        <f t="shared" si="0"/>
        <v>183</v>
      </c>
      <c r="E10" s="5">
        <f>beö!$E$31</f>
        <v>183</v>
      </c>
      <c r="F10" s="44"/>
    </row>
    <row r="11" spans="1:6" ht="12">
      <c r="A11" s="43"/>
      <c r="B11" s="531"/>
      <c r="C11" s="41" t="s">
        <v>1433</v>
      </c>
      <c r="D11" s="5">
        <f t="shared" si="0"/>
        <v>0</v>
      </c>
      <c r="E11" s="5"/>
      <c r="F11" s="44"/>
    </row>
    <row r="12" spans="1:6" ht="12">
      <c r="A12" s="43"/>
      <c r="B12" s="531"/>
      <c r="C12" s="41" t="s">
        <v>1434</v>
      </c>
      <c r="D12" s="5">
        <f t="shared" si="0"/>
        <v>0</v>
      </c>
      <c r="E12" s="5"/>
      <c r="F12" s="44">
        <f>beö!$E$41</f>
        <v>0</v>
      </c>
    </row>
    <row r="13" spans="1:6" ht="12">
      <c r="A13" s="43"/>
      <c r="B13" s="531"/>
      <c r="C13" s="41" t="s">
        <v>1435</v>
      </c>
      <c r="D13" s="5">
        <f t="shared" si="0"/>
        <v>8300</v>
      </c>
      <c r="E13" s="5">
        <f>beö!$E$49+beö!$E$55</f>
        <v>8300</v>
      </c>
      <c r="F13" s="44">
        <f>beö!$E$45</f>
        <v>0</v>
      </c>
    </row>
    <row r="14" spans="1:6" ht="12">
      <c r="A14" s="43"/>
      <c r="B14" s="531"/>
      <c r="C14" s="41" t="s">
        <v>1436</v>
      </c>
      <c r="D14" s="5">
        <f t="shared" si="0"/>
        <v>19763</v>
      </c>
      <c r="E14" s="5">
        <v>19763</v>
      </c>
      <c r="F14" s="44">
        <f>beö!$E$85+beö!$E$88</f>
        <v>0</v>
      </c>
    </row>
    <row r="15" spans="1:6" ht="12">
      <c r="A15" s="43"/>
      <c r="B15" s="42"/>
      <c r="C15" s="41"/>
      <c r="D15" s="5"/>
      <c r="E15" s="5"/>
      <c r="F15" s="44"/>
    </row>
    <row r="16" spans="1:6" ht="12">
      <c r="A16" s="43"/>
      <c r="B16" s="42"/>
      <c r="C16" s="41"/>
      <c r="D16" s="5"/>
      <c r="E16" s="5"/>
      <c r="F16" s="44"/>
    </row>
    <row r="17" spans="1:6" ht="12">
      <c r="A17" s="43">
        <v>11</v>
      </c>
      <c r="B17" s="532" t="s">
        <v>1005</v>
      </c>
      <c r="C17" s="56" t="s">
        <v>1431</v>
      </c>
      <c r="D17" s="58">
        <f aca="true" t="shared" si="1" ref="D17:D22">E17+F17</f>
        <v>0</v>
      </c>
      <c r="E17" s="58">
        <f>E18+E19+E20+E21+E22</f>
        <v>0</v>
      </c>
      <c r="F17" s="59">
        <f>F18+F19+F20+F21+F22</f>
        <v>0</v>
      </c>
    </row>
    <row r="18" spans="1:6" ht="12">
      <c r="A18" s="43"/>
      <c r="B18" s="532"/>
      <c r="C18" s="41" t="s">
        <v>1432</v>
      </c>
      <c r="D18" s="5">
        <f t="shared" si="1"/>
        <v>0</v>
      </c>
      <c r="E18" s="5">
        <f>beö!$H$31</f>
        <v>0</v>
      </c>
      <c r="F18" s="44"/>
    </row>
    <row r="19" spans="1:6" ht="12">
      <c r="A19" s="43"/>
      <c r="B19" s="532"/>
      <c r="C19" s="41" t="s">
        <v>1433</v>
      </c>
      <c r="D19" s="5">
        <f t="shared" si="1"/>
        <v>0</v>
      </c>
      <c r="E19" s="5"/>
      <c r="F19" s="44"/>
    </row>
    <row r="20" spans="1:6" ht="12">
      <c r="A20" s="43"/>
      <c r="B20" s="532"/>
      <c r="C20" s="41" t="s">
        <v>1434</v>
      </c>
      <c r="D20" s="5">
        <f t="shared" si="1"/>
        <v>0</v>
      </c>
      <c r="E20" s="5"/>
      <c r="F20" s="44">
        <f>beö!$H$41</f>
        <v>0</v>
      </c>
    </row>
    <row r="21" spans="1:6" ht="12">
      <c r="A21" s="43"/>
      <c r="B21" s="532"/>
      <c r="C21" s="41" t="s">
        <v>1435</v>
      </c>
      <c r="D21" s="5">
        <f t="shared" si="1"/>
        <v>0</v>
      </c>
      <c r="E21" s="5">
        <f>beö!$H$49+beö!$H$55</f>
        <v>0</v>
      </c>
      <c r="F21" s="44">
        <f>beö!$H$45</f>
        <v>0</v>
      </c>
    </row>
    <row r="22" spans="1:6" ht="12">
      <c r="A22" s="43"/>
      <c r="B22" s="532"/>
      <c r="C22" s="41" t="s">
        <v>1436</v>
      </c>
      <c r="D22" s="5">
        <f t="shared" si="1"/>
        <v>0</v>
      </c>
      <c r="E22" s="5">
        <f>beö!$H$84+beö!$H$87</f>
        <v>0</v>
      </c>
      <c r="F22" s="44">
        <f>beö!$H$85+beö!$H$88</f>
        <v>0</v>
      </c>
    </row>
    <row r="23" spans="1:6" ht="12">
      <c r="A23" s="43"/>
      <c r="B23" s="42"/>
      <c r="C23" s="41"/>
      <c r="D23" s="5"/>
      <c r="E23" s="5"/>
      <c r="F23" s="44"/>
    </row>
    <row r="24" spans="1:6" ht="12">
      <c r="A24" s="43">
        <v>12</v>
      </c>
      <c r="B24" s="531" t="s">
        <v>1437</v>
      </c>
      <c r="C24" s="56" t="s">
        <v>1431</v>
      </c>
      <c r="D24" s="58">
        <f aca="true" t="shared" si="2" ref="D24:D29">E24+F24</f>
        <v>275</v>
      </c>
      <c r="E24" s="58">
        <f>E25+E26+E27+E28+E29</f>
        <v>275</v>
      </c>
      <c r="F24" s="59">
        <f>F25+F26+F27+F28+F29</f>
        <v>0</v>
      </c>
    </row>
    <row r="25" spans="1:6" ht="12">
      <c r="A25" s="43"/>
      <c r="B25" s="531"/>
      <c r="C25" s="41" t="s">
        <v>1432</v>
      </c>
      <c r="D25" s="5">
        <f t="shared" si="2"/>
        <v>275</v>
      </c>
      <c r="E25" s="5">
        <f>beö!$N$31</f>
        <v>275</v>
      </c>
      <c r="F25" s="44"/>
    </row>
    <row r="26" spans="1:6" ht="12">
      <c r="A26" s="43"/>
      <c r="B26" s="531"/>
      <c r="C26" s="41" t="s">
        <v>1433</v>
      </c>
      <c r="D26" s="5">
        <f t="shared" si="2"/>
        <v>0</v>
      </c>
      <c r="E26" s="5"/>
      <c r="F26" s="44"/>
    </row>
    <row r="27" spans="1:6" ht="12">
      <c r="A27" s="43"/>
      <c r="B27" s="531"/>
      <c r="C27" s="41" t="s">
        <v>1434</v>
      </c>
      <c r="D27" s="5">
        <f t="shared" si="2"/>
        <v>0</v>
      </c>
      <c r="E27" s="5"/>
      <c r="F27" s="44">
        <f>beö!$N$41</f>
        <v>0</v>
      </c>
    </row>
    <row r="28" spans="1:6" ht="12">
      <c r="A28" s="43"/>
      <c r="B28" s="531"/>
      <c r="C28" s="41" t="s">
        <v>1435</v>
      </c>
      <c r="D28" s="5">
        <f t="shared" si="2"/>
        <v>0</v>
      </c>
      <c r="E28" s="5">
        <f>beö!$N$49+beö!$N$55</f>
        <v>0</v>
      </c>
      <c r="F28" s="44">
        <f>beö!$N$45</f>
        <v>0</v>
      </c>
    </row>
    <row r="29" spans="1:6" ht="12">
      <c r="A29" s="43"/>
      <c r="B29" s="531"/>
      <c r="C29" s="41" t="s">
        <v>1436</v>
      </c>
      <c r="D29" s="5">
        <f t="shared" si="2"/>
        <v>0</v>
      </c>
      <c r="E29" s="5">
        <f>beö!$N$84+beö!$N$87</f>
        <v>0</v>
      </c>
      <c r="F29" s="44">
        <f>beö!$N$85+beö!$N$88</f>
        <v>0</v>
      </c>
    </row>
    <row r="30" spans="1:6" ht="12">
      <c r="A30" s="43"/>
      <c r="B30" s="42"/>
      <c r="C30" s="41"/>
      <c r="D30" s="5"/>
      <c r="E30" s="5"/>
      <c r="F30" s="44"/>
    </row>
    <row r="31" spans="1:6" ht="12">
      <c r="A31" s="43">
        <v>13</v>
      </c>
      <c r="B31" s="532" t="s">
        <v>1442</v>
      </c>
      <c r="C31" s="56" t="s">
        <v>1431</v>
      </c>
      <c r="D31" s="58">
        <f aca="true" t="shared" si="3" ref="D31:D36">E31+F31</f>
        <v>3916</v>
      </c>
      <c r="E31" s="58">
        <f>E32+E33+E34+E35+E36</f>
        <v>3916</v>
      </c>
      <c r="F31" s="59">
        <f>F32+F33+F34+F35+F36</f>
        <v>0</v>
      </c>
    </row>
    <row r="32" spans="1:6" ht="12">
      <c r="A32" s="43"/>
      <c r="B32" s="532"/>
      <c r="C32" s="41" t="s">
        <v>1432</v>
      </c>
      <c r="D32" s="5">
        <f t="shared" si="3"/>
        <v>0</v>
      </c>
      <c r="E32" s="5">
        <f>beö!$U$31</f>
        <v>0</v>
      </c>
      <c r="F32" s="44"/>
    </row>
    <row r="33" spans="1:6" ht="12">
      <c r="A33" s="43"/>
      <c r="B33" s="532"/>
      <c r="C33" s="41" t="s">
        <v>1433</v>
      </c>
      <c r="D33" s="5">
        <f t="shared" si="3"/>
        <v>0</v>
      </c>
      <c r="E33" s="5"/>
      <c r="F33" s="44"/>
    </row>
    <row r="34" spans="1:6" ht="12">
      <c r="A34" s="43"/>
      <c r="B34" s="532"/>
      <c r="C34" s="41" t="s">
        <v>1434</v>
      </c>
      <c r="D34" s="5">
        <f t="shared" si="3"/>
        <v>0</v>
      </c>
      <c r="E34" s="5"/>
      <c r="F34" s="44">
        <f>beö!$U$41</f>
        <v>0</v>
      </c>
    </row>
    <row r="35" spans="1:6" ht="12">
      <c r="A35" s="43"/>
      <c r="B35" s="532"/>
      <c r="C35" s="41" t="s">
        <v>1435</v>
      </c>
      <c r="D35" s="5">
        <f t="shared" si="3"/>
        <v>3916</v>
      </c>
      <c r="E35" s="5">
        <f>beö!$U$49+beö!$U$55</f>
        <v>3916</v>
      </c>
      <c r="F35" s="44">
        <f>beö!$U$45</f>
        <v>0</v>
      </c>
    </row>
    <row r="36" spans="1:6" ht="12">
      <c r="A36" s="43"/>
      <c r="B36" s="532"/>
      <c r="C36" s="41" t="s">
        <v>1436</v>
      </c>
      <c r="D36" s="5">
        <f t="shared" si="3"/>
        <v>0</v>
      </c>
      <c r="E36" s="5">
        <f>beö!$U$84+beö!$U$87</f>
        <v>0</v>
      </c>
      <c r="F36" s="44">
        <f>beö!$U$85+beö!$U$88</f>
        <v>0</v>
      </c>
    </row>
    <row r="37" spans="1:6" ht="12">
      <c r="A37" s="43"/>
      <c r="B37" s="42"/>
      <c r="C37" s="41"/>
      <c r="D37" s="5"/>
      <c r="E37" s="5"/>
      <c r="F37" s="44"/>
    </row>
    <row r="38" spans="1:6" ht="12">
      <c r="A38" s="43">
        <v>14</v>
      </c>
      <c r="B38" s="531" t="s">
        <v>1438</v>
      </c>
      <c r="C38" s="41" t="s">
        <v>1431</v>
      </c>
      <c r="D38" s="58">
        <f aca="true" t="shared" si="4" ref="D38:D43">E38+F38</f>
        <v>7794</v>
      </c>
      <c r="E38" s="58">
        <f>E39+E40+E41+E42+E43</f>
        <v>7794</v>
      </c>
      <c r="F38" s="59">
        <f>F39+F40+F41+F42+F43</f>
        <v>0</v>
      </c>
    </row>
    <row r="39" spans="1:6" ht="12">
      <c r="A39" s="43"/>
      <c r="B39" s="531"/>
      <c r="C39" s="41" t="s">
        <v>1432</v>
      </c>
      <c r="D39" s="5">
        <f t="shared" si="4"/>
        <v>7794</v>
      </c>
      <c r="E39" s="5">
        <f>beö!$Y$31</f>
        <v>7794</v>
      </c>
      <c r="F39" s="44"/>
    </row>
    <row r="40" spans="1:6" ht="12">
      <c r="A40" s="43"/>
      <c r="B40" s="531"/>
      <c r="C40" s="41" t="s">
        <v>1433</v>
      </c>
      <c r="D40" s="5">
        <f t="shared" si="4"/>
        <v>0</v>
      </c>
      <c r="E40" s="5"/>
      <c r="F40" s="44"/>
    </row>
    <row r="41" spans="1:6" ht="12">
      <c r="A41" s="43"/>
      <c r="B41" s="531"/>
      <c r="C41" s="41" t="s">
        <v>1434</v>
      </c>
      <c r="D41" s="5">
        <f t="shared" si="4"/>
        <v>0</v>
      </c>
      <c r="E41" s="5"/>
      <c r="F41" s="44">
        <f>beö!$Y$41</f>
        <v>0</v>
      </c>
    </row>
    <row r="42" spans="1:6" ht="12">
      <c r="A42" s="43"/>
      <c r="B42" s="531"/>
      <c r="C42" s="41" t="s">
        <v>1435</v>
      </c>
      <c r="D42" s="5">
        <f t="shared" si="4"/>
        <v>0</v>
      </c>
      <c r="E42" s="5">
        <f>beö!$Y$49+beö!$Y$55</f>
        <v>0</v>
      </c>
      <c r="F42" s="44">
        <f>beö!$Y$45</f>
        <v>0</v>
      </c>
    </row>
    <row r="43" spans="1:6" ht="12">
      <c r="A43" s="43"/>
      <c r="B43" s="531"/>
      <c r="C43" s="41" t="s">
        <v>1436</v>
      </c>
      <c r="D43" s="5">
        <f t="shared" si="4"/>
        <v>0</v>
      </c>
      <c r="E43" s="5">
        <f>beö!$Y$84+beö!$Y$87</f>
        <v>0</v>
      </c>
      <c r="F43" s="44">
        <f>beö!$Y$85+beö!$Y$88</f>
        <v>0</v>
      </c>
    </row>
    <row r="44" spans="1:6" ht="12">
      <c r="A44" s="132"/>
      <c r="B44" s="52"/>
      <c r="C44" s="49"/>
      <c r="D44" s="51"/>
      <c r="E44" s="51"/>
      <c r="F44" s="53"/>
    </row>
    <row r="45" spans="1:6" ht="12">
      <c r="A45" s="151"/>
      <c r="B45" s="87"/>
      <c r="C45" s="87"/>
      <c r="D45" s="152"/>
      <c r="E45" s="152"/>
      <c r="F45" s="152"/>
    </row>
    <row r="46" spans="1:6" ht="12">
      <c r="A46" s="151"/>
      <c r="B46" s="87"/>
      <c r="C46" s="87"/>
      <c r="D46" s="152"/>
      <c r="E46" s="152"/>
      <c r="F46" s="152"/>
    </row>
    <row r="47" spans="1:6" ht="12">
      <c r="A47" s="413" t="s">
        <v>1416</v>
      </c>
      <c r="B47" s="415"/>
      <c r="C47" s="356" t="s">
        <v>338</v>
      </c>
      <c r="D47" s="525" t="s">
        <v>1417</v>
      </c>
      <c r="E47" s="525"/>
      <c r="F47" s="401"/>
    </row>
    <row r="48" spans="1:6" ht="12">
      <c r="A48" s="416"/>
      <c r="B48" s="418"/>
      <c r="C48" s="353"/>
      <c r="D48" s="527"/>
      <c r="E48" s="527"/>
      <c r="F48" s="528"/>
    </row>
    <row r="49" spans="1:6" ht="12">
      <c r="A49" s="515" t="s">
        <v>320</v>
      </c>
      <c r="B49" s="515" t="s">
        <v>1418</v>
      </c>
      <c r="C49" s="353"/>
      <c r="D49" s="404" t="s">
        <v>242</v>
      </c>
      <c r="E49" s="525" t="s">
        <v>341</v>
      </c>
      <c r="F49" s="401"/>
    </row>
    <row r="50" spans="1:6" ht="12">
      <c r="A50" s="516"/>
      <c r="B50" s="516"/>
      <c r="C50" s="353"/>
      <c r="D50" s="405"/>
      <c r="E50" s="527"/>
      <c r="F50" s="528"/>
    </row>
    <row r="51" spans="1:6" ht="12">
      <c r="A51" s="516"/>
      <c r="B51" s="516"/>
      <c r="C51" s="353"/>
      <c r="D51" s="405"/>
      <c r="E51" s="404" t="s">
        <v>1419</v>
      </c>
      <c r="F51" s="401" t="s">
        <v>343</v>
      </c>
    </row>
    <row r="52" spans="1:6" ht="12.75" thickBot="1">
      <c r="A52" s="517"/>
      <c r="B52" s="517"/>
      <c r="C52" s="352"/>
      <c r="D52" s="406"/>
      <c r="E52" s="406"/>
      <c r="F52" s="530"/>
    </row>
    <row r="53" spans="1:6" ht="12.75" thickTop="1">
      <c r="A53" s="134"/>
      <c r="B53" s="41"/>
      <c r="C53" s="41"/>
      <c r="D53" s="5"/>
      <c r="E53" s="5"/>
      <c r="F53" s="44"/>
    </row>
    <row r="54" spans="1:6" ht="12">
      <c r="A54" s="43" t="s">
        <v>333</v>
      </c>
      <c r="B54" s="448" t="s">
        <v>1441</v>
      </c>
      <c r="C54" s="41" t="s">
        <v>1431</v>
      </c>
      <c r="D54" s="58">
        <f aca="true" t="shared" si="5" ref="D54:D59">E54+F54</f>
        <v>87831</v>
      </c>
      <c r="E54" s="58">
        <f>E55+E56+E57+E58+E59</f>
        <v>83761</v>
      </c>
      <c r="F54" s="59">
        <f>F55+F56+F57+F58+F59</f>
        <v>4070</v>
      </c>
    </row>
    <row r="55" spans="1:6" ht="12">
      <c r="A55" s="43"/>
      <c r="B55" s="448"/>
      <c r="C55" s="41" t="s">
        <v>1432</v>
      </c>
      <c r="D55" s="5">
        <f t="shared" si="5"/>
        <v>0</v>
      </c>
      <c r="E55" s="5">
        <f>beö!$AC$31</f>
        <v>0</v>
      </c>
      <c r="F55" s="44"/>
    </row>
    <row r="56" spans="1:6" ht="12">
      <c r="A56" s="43"/>
      <c r="B56" s="448"/>
      <c r="C56" s="41" t="s">
        <v>1433</v>
      </c>
      <c r="D56" s="5">
        <f t="shared" si="5"/>
        <v>35082</v>
      </c>
      <c r="E56" s="5">
        <v>33040</v>
      </c>
      <c r="F56" s="5">
        <v>2042</v>
      </c>
    </row>
    <row r="57" spans="1:6" ht="12">
      <c r="A57" s="43"/>
      <c r="B57" s="448"/>
      <c r="C57" s="41" t="s">
        <v>1434</v>
      </c>
      <c r="D57" s="5">
        <f t="shared" si="5"/>
        <v>0</v>
      </c>
      <c r="E57" s="5"/>
      <c r="F57" s="44">
        <f>beö!$AC$41</f>
        <v>0</v>
      </c>
    </row>
    <row r="58" spans="1:6" ht="12">
      <c r="A58" s="43"/>
      <c r="B58" s="448"/>
      <c r="C58" s="41" t="s">
        <v>1435</v>
      </c>
      <c r="D58" s="5">
        <v>52749</v>
      </c>
      <c r="E58" s="5">
        <v>50721</v>
      </c>
      <c r="F58" s="44">
        <v>2028</v>
      </c>
    </row>
    <row r="59" spans="1:6" ht="12">
      <c r="A59" s="43"/>
      <c r="B59" s="448"/>
      <c r="C59" s="41" t="s">
        <v>1436</v>
      </c>
      <c r="D59" s="5">
        <f t="shared" si="5"/>
        <v>0</v>
      </c>
      <c r="E59" s="5">
        <f>beö!$AC$84+beö!$AC$87</f>
        <v>0</v>
      </c>
      <c r="F59" s="44">
        <f>beö!$AC$85+beö!$AC$88</f>
        <v>0</v>
      </c>
    </row>
    <row r="60" spans="1:6" ht="12">
      <c r="A60" s="43"/>
      <c r="B60" s="41"/>
      <c r="C60" s="41"/>
      <c r="D60" s="5"/>
      <c r="E60" s="5"/>
      <c r="F60" s="44"/>
    </row>
    <row r="61" spans="1:6" ht="12">
      <c r="A61" s="43"/>
      <c r="B61" s="41"/>
      <c r="C61" s="41"/>
      <c r="D61" s="5"/>
      <c r="E61" s="5"/>
      <c r="F61" s="44"/>
    </row>
    <row r="62" spans="1:6" ht="12">
      <c r="A62" s="43"/>
      <c r="B62" s="516" t="s">
        <v>1439</v>
      </c>
      <c r="C62" s="56" t="s">
        <v>1431</v>
      </c>
      <c r="D62" s="58">
        <f aca="true" t="shared" si="6" ref="D62:F68">D9+D17+D24+D31+D38+D54</f>
        <v>128062</v>
      </c>
      <c r="E62" s="58">
        <f t="shared" si="6"/>
        <v>123992</v>
      </c>
      <c r="F62" s="58">
        <f t="shared" si="6"/>
        <v>4070</v>
      </c>
    </row>
    <row r="63" spans="1:6" ht="12">
      <c r="A63" s="43"/>
      <c r="B63" s="516"/>
      <c r="C63" s="41" t="s">
        <v>1432</v>
      </c>
      <c r="D63" s="5">
        <f t="shared" si="6"/>
        <v>8252</v>
      </c>
      <c r="E63" s="5">
        <f t="shared" si="6"/>
        <v>8252</v>
      </c>
      <c r="F63" s="5">
        <f t="shared" si="6"/>
        <v>0</v>
      </c>
    </row>
    <row r="64" spans="1:6" ht="12">
      <c r="A64" s="43"/>
      <c r="B64" s="516"/>
      <c r="C64" s="41" t="s">
        <v>1433</v>
      </c>
      <c r="D64" s="5">
        <f t="shared" si="6"/>
        <v>35082</v>
      </c>
      <c r="E64" s="5">
        <f t="shared" si="6"/>
        <v>33040</v>
      </c>
      <c r="F64" s="5">
        <f t="shared" si="6"/>
        <v>2042</v>
      </c>
    </row>
    <row r="65" spans="1:6" ht="12">
      <c r="A65" s="43"/>
      <c r="B65" s="516"/>
      <c r="C65" s="41" t="s">
        <v>1434</v>
      </c>
      <c r="D65" s="5">
        <f t="shared" si="6"/>
        <v>0</v>
      </c>
      <c r="E65" s="5">
        <f t="shared" si="6"/>
        <v>0</v>
      </c>
      <c r="F65" s="5">
        <f t="shared" si="6"/>
        <v>0</v>
      </c>
    </row>
    <row r="66" spans="1:6" ht="12">
      <c r="A66" s="43"/>
      <c r="B66" s="516"/>
      <c r="C66" s="41" t="s">
        <v>1435</v>
      </c>
      <c r="D66" s="5">
        <f>D13+D21+D28+D35+D42+D58</f>
        <v>64965</v>
      </c>
      <c r="E66" s="5">
        <f>E13+E21+E28+E35+E42+E58</f>
        <v>62937</v>
      </c>
      <c r="F66" s="5">
        <f t="shared" si="6"/>
        <v>2028</v>
      </c>
    </row>
    <row r="67" spans="1:6" ht="12">
      <c r="A67" s="43"/>
      <c r="B67" s="516"/>
      <c r="C67" s="41" t="s">
        <v>1436</v>
      </c>
      <c r="D67" s="5">
        <f t="shared" si="6"/>
        <v>19763</v>
      </c>
      <c r="E67" s="5">
        <f>E14+E22+E29+E36+E43+E59</f>
        <v>19763</v>
      </c>
      <c r="F67" s="5">
        <f t="shared" si="6"/>
        <v>0</v>
      </c>
    </row>
    <row r="68" spans="1:6" ht="12">
      <c r="A68" s="43"/>
      <c r="B68" s="41"/>
      <c r="C68" s="41"/>
      <c r="D68" s="5">
        <f t="shared" si="6"/>
        <v>0</v>
      </c>
      <c r="E68" s="5">
        <f t="shared" si="6"/>
        <v>0</v>
      </c>
      <c r="F68" s="5">
        <f t="shared" si="6"/>
        <v>0</v>
      </c>
    </row>
    <row r="69" spans="1:6" ht="12">
      <c r="A69" s="132"/>
      <c r="B69" s="49"/>
      <c r="C69" s="49"/>
      <c r="D69" s="51"/>
      <c r="E69" s="51"/>
      <c r="F69" s="53"/>
    </row>
  </sheetData>
  <sheetProtection/>
  <mergeCells count="25">
    <mergeCell ref="A1:B2"/>
    <mergeCell ref="D1:F2"/>
    <mergeCell ref="E3:F4"/>
    <mergeCell ref="A3:A6"/>
    <mergeCell ref="B3:B6"/>
    <mergeCell ref="D3:D6"/>
    <mergeCell ref="E5:E6"/>
    <mergeCell ref="C1:C6"/>
    <mergeCell ref="F5:F6"/>
    <mergeCell ref="B9:B14"/>
    <mergeCell ref="B62:B67"/>
    <mergeCell ref="B17:B22"/>
    <mergeCell ref="B24:B29"/>
    <mergeCell ref="B31:B36"/>
    <mergeCell ref="B38:B43"/>
    <mergeCell ref="B54:B59"/>
    <mergeCell ref="A47:B48"/>
    <mergeCell ref="C47:C52"/>
    <mergeCell ref="D47:F48"/>
    <mergeCell ref="A49:A52"/>
    <mergeCell ref="B49:B52"/>
    <mergeCell ref="D49:D52"/>
    <mergeCell ref="E49:F50"/>
    <mergeCell ref="E51:E52"/>
    <mergeCell ref="F51:F52"/>
  </mergeCells>
  <printOptions horizontalCentered="1"/>
  <pageMargins left="0.3937007874015748" right="0.3937007874015748" top="1.64" bottom="0.8267716535433072" header="0.5118110236220472" footer="0.5118110236220472"/>
  <pageSetup horizontalDpi="600" verticalDpi="600" orientation="portrait" paperSize="9" r:id="rId1"/>
  <headerFooter alignWithMargins="0">
    <oddHeader>&amp;C
&amp;"Arial,Félkövér dőlt"&amp;12Tiszagyulaháza község 2008.évi költségvetési bevételeinek 
részletezése bevételi forrásonként és költségvetési címenként&amp;R&amp;"Arial,Dőlt"&amp;8 3.számú melléklet
adatok ezer forintban</oddHeader>
    <oddFooter>&amp;C&amp;"Arial,Dőlt"&amp;8&amp;P. oldal</oddFooter>
  </headerFooter>
  <rowBreaks count="1" manualBreakCount="1">
    <brk id="4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F47" sqref="F47"/>
    </sheetView>
  </sheetViews>
  <sheetFormatPr defaultColWidth="9.00390625" defaultRowHeight="12.75"/>
  <cols>
    <col min="1" max="1" width="53.25390625" style="37" bestFit="1" customWidth="1"/>
    <col min="2" max="2" width="13.00390625" style="55" bestFit="1" customWidth="1"/>
    <col min="3" max="3" width="13.625" style="55" bestFit="1" customWidth="1"/>
    <col min="4" max="4" width="12.625" style="55" bestFit="1" customWidth="1"/>
    <col min="5" max="16384" width="9.125" style="37" customWidth="1"/>
  </cols>
  <sheetData>
    <row r="1" spans="1:4" ht="12">
      <c r="A1" s="356" t="s">
        <v>347</v>
      </c>
      <c r="B1" s="366" t="s">
        <v>339</v>
      </c>
      <c r="C1" s="525"/>
      <c r="D1" s="401"/>
    </row>
    <row r="2" spans="1:4" ht="12">
      <c r="A2" s="353"/>
      <c r="B2" s="526"/>
      <c r="C2" s="527"/>
      <c r="D2" s="528"/>
    </row>
    <row r="3" spans="1:4" ht="12">
      <c r="A3" s="353"/>
      <c r="B3" s="405" t="s">
        <v>340</v>
      </c>
      <c r="C3" s="366" t="s">
        <v>341</v>
      </c>
      <c r="D3" s="401"/>
    </row>
    <row r="4" spans="1:4" ht="12">
      <c r="A4" s="353"/>
      <c r="B4" s="405"/>
      <c r="C4" s="526"/>
      <c r="D4" s="528"/>
    </row>
    <row r="5" spans="1:4" ht="12">
      <c r="A5" s="353"/>
      <c r="B5" s="405"/>
      <c r="C5" s="405" t="s">
        <v>342</v>
      </c>
      <c r="D5" s="402" t="s">
        <v>1421</v>
      </c>
    </row>
    <row r="6" spans="1:4" ht="12.75" thickBot="1">
      <c r="A6" s="352"/>
      <c r="B6" s="406"/>
      <c r="C6" s="406"/>
      <c r="D6" s="403"/>
    </row>
    <row r="7" spans="1:4" ht="12.75" thickTop="1">
      <c r="A7" s="41"/>
      <c r="B7" s="5"/>
      <c r="C7" s="5"/>
      <c r="D7" s="44"/>
    </row>
    <row r="8" spans="1:4" ht="12">
      <c r="A8" s="41" t="s">
        <v>258</v>
      </c>
      <c r="B8" s="5">
        <f aca="true" t="shared" si="0" ref="B8:B48">C8+D8</f>
        <v>18931</v>
      </c>
      <c r="C8" s="5">
        <f>kiö!$AJ$10</f>
        <v>18931</v>
      </c>
      <c r="D8" s="44"/>
    </row>
    <row r="9" spans="1:4" ht="12">
      <c r="A9" s="41" t="s">
        <v>1303</v>
      </c>
      <c r="B9" s="5">
        <f t="shared" si="0"/>
        <v>2528</v>
      </c>
      <c r="C9" s="5">
        <f>kiö!$AJ$39</f>
        <v>2528</v>
      </c>
      <c r="D9" s="44"/>
    </row>
    <row r="10" spans="1:4" ht="12">
      <c r="A10" s="41" t="s">
        <v>1488</v>
      </c>
      <c r="B10" s="5">
        <f t="shared" si="0"/>
        <v>4186</v>
      </c>
      <c r="C10" s="5">
        <f>kiö!$AJ$46</f>
        <v>4186</v>
      </c>
      <c r="D10" s="44"/>
    </row>
    <row r="11" spans="1:4" s="61" customFormat="1" ht="12">
      <c r="A11" s="56" t="s">
        <v>753</v>
      </c>
      <c r="B11" s="58">
        <f t="shared" si="0"/>
        <v>25645</v>
      </c>
      <c r="C11" s="58">
        <f>SUM(C8:C10)</f>
        <v>25645</v>
      </c>
      <c r="D11" s="59">
        <f>SUM(D8:D10)</f>
        <v>0</v>
      </c>
    </row>
    <row r="12" spans="1:4" ht="12">
      <c r="A12" s="41" t="s">
        <v>1422</v>
      </c>
      <c r="B12" s="5">
        <f t="shared" si="0"/>
        <v>6821</v>
      </c>
      <c r="C12" s="5">
        <f>kiö!$AJ$48</f>
        <v>6821</v>
      </c>
      <c r="D12" s="44"/>
    </row>
    <row r="13" spans="1:4" ht="12">
      <c r="A13" s="41" t="s">
        <v>348</v>
      </c>
      <c r="B13" s="5">
        <f t="shared" si="0"/>
        <v>635</v>
      </c>
      <c r="C13" s="5">
        <f>kiö!$AJ$49</f>
        <v>635</v>
      </c>
      <c r="D13" s="44"/>
    </row>
    <row r="14" spans="1:4" ht="12">
      <c r="A14" s="41" t="s">
        <v>301</v>
      </c>
      <c r="B14" s="5">
        <f t="shared" si="0"/>
        <v>630</v>
      </c>
      <c r="C14" s="5">
        <f>kiö!$AJ$50</f>
        <v>630</v>
      </c>
      <c r="D14" s="44"/>
    </row>
    <row r="15" spans="1:4" ht="12">
      <c r="A15" s="41" t="s">
        <v>349</v>
      </c>
      <c r="B15" s="5">
        <f t="shared" si="0"/>
        <v>0</v>
      </c>
      <c r="C15" s="5">
        <f>kiö!$AJ$51</f>
        <v>0</v>
      </c>
      <c r="D15" s="44"/>
    </row>
    <row r="16" spans="1:4" ht="12">
      <c r="A16" s="41" t="s">
        <v>1276</v>
      </c>
      <c r="B16" s="5">
        <f t="shared" si="0"/>
        <v>0</v>
      </c>
      <c r="C16" s="5"/>
      <c r="D16" s="44"/>
    </row>
    <row r="17" spans="1:4" s="61" customFormat="1" ht="12">
      <c r="A17" s="56" t="s">
        <v>1342</v>
      </c>
      <c r="B17" s="58">
        <f t="shared" si="0"/>
        <v>8086</v>
      </c>
      <c r="C17" s="58">
        <f>SUM(C12:C16)</f>
        <v>8086</v>
      </c>
      <c r="D17" s="59">
        <f>SUM(D12:D16)</f>
        <v>0</v>
      </c>
    </row>
    <row r="18" spans="1:4" ht="12">
      <c r="A18" s="41" t="s">
        <v>308</v>
      </c>
      <c r="B18" s="5">
        <f>C18+D18</f>
        <v>8192</v>
      </c>
      <c r="C18" s="5">
        <f>kiö!$AJ$67</f>
        <v>8192</v>
      </c>
      <c r="D18" s="44"/>
    </row>
    <row r="19" spans="1:4" ht="12">
      <c r="A19" s="41" t="s">
        <v>310</v>
      </c>
      <c r="B19" s="5">
        <f>C19+D19</f>
        <v>12926</v>
      </c>
      <c r="C19" s="5">
        <f>kiö!$AJ$71+kiö!$AJ$81+kiö!$AJ$82</f>
        <v>12926</v>
      </c>
      <c r="D19" s="44"/>
    </row>
    <row r="20" spans="1:4" ht="12">
      <c r="A20" s="41" t="s">
        <v>1343</v>
      </c>
      <c r="B20" s="5">
        <f t="shared" si="0"/>
        <v>4231</v>
      </c>
      <c r="C20" s="5">
        <f>kiö!$AJ$87</f>
        <v>4231</v>
      </c>
      <c r="D20" s="44"/>
    </row>
    <row r="21" spans="1:4" ht="12">
      <c r="A21" s="41" t="s">
        <v>1344</v>
      </c>
      <c r="B21" s="5">
        <f t="shared" si="0"/>
        <v>235</v>
      </c>
      <c r="C21" s="5">
        <f>kiö!$AJ$91</f>
        <v>235</v>
      </c>
      <c r="D21" s="44"/>
    </row>
    <row r="22" spans="1:4" ht="12">
      <c r="A22" s="41" t="s">
        <v>1444</v>
      </c>
      <c r="B22" s="5">
        <f t="shared" si="0"/>
        <v>1811</v>
      </c>
      <c r="C22" s="5">
        <f>kiö!$AJ$92</f>
        <v>1811</v>
      </c>
      <c r="D22" s="44"/>
    </row>
    <row r="23" spans="1:4" s="61" customFormat="1" ht="12">
      <c r="A23" s="56" t="s">
        <v>1445</v>
      </c>
      <c r="B23" s="58">
        <f t="shared" si="0"/>
        <v>27395</v>
      </c>
      <c r="C23" s="58">
        <f>SUM(C18:C22)</f>
        <v>27395</v>
      </c>
      <c r="D23" s="59">
        <f>SUM(D18:D22)</f>
        <v>0</v>
      </c>
    </row>
    <row r="24" spans="1:4" ht="12">
      <c r="A24" s="41" t="s">
        <v>1345</v>
      </c>
      <c r="B24" s="5">
        <f t="shared" si="0"/>
        <v>5206</v>
      </c>
      <c r="C24" s="5">
        <f>kiö!$AJ$98</f>
        <v>5206</v>
      </c>
      <c r="D24" s="44"/>
    </row>
    <row r="25" spans="1:4" ht="12">
      <c r="A25" s="41" t="s">
        <v>1346</v>
      </c>
      <c r="B25" s="5">
        <f t="shared" si="0"/>
        <v>1300</v>
      </c>
      <c r="C25" s="5">
        <f>kiö!$AJ$102</f>
        <v>1300</v>
      </c>
      <c r="D25" s="44"/>
    </row>
    <row r="26" spans="1:4" ht="12">
      <c r="A26" s="41" t="s">
        <v>1347</v>
      </c>
      <c r="B26" s="5">
        <f t="shared" si="0"/>
        <v>2740</v>
      </c>
      <c r="C26" s="5">
        <f>kiö!$AJ$105</f>
        <v>2740</v>
      </c>
      <c r="D26" s="44"/>
    </row>
    <row r="27" spans="1:4" s="61" customFormat="1" ht="12">
      <c r="A27" s="56" t="s">
        <v>1446</v>
      </c>
      <c r="B27" s="58">
        <f t="shared" si="0"/>
        <v>9246</v>
      </c>
      <c r="C27" s="58">
        <f>SUM(C24:C26)</f>
        <v>9246</v>
      </c>
      <c r="D27" s="59">
        <v>0</v>
      </c>
    </row>
    <row r="28" spans="1:4" s="9" customFormat="1" ht="12">
      <c r="A28" s="2" t="s">
        <v>1423</v>
      </c>
      <c r="B28" s="4">
        <f t="shared" si="0"/>
        <v>0</v>
      </c>
      <c r="C28" s="4">
        <f>kiö!$AJ$108</f>
        <v>0</v>
      </c>
      <c r="D28" s="8">
        <v>0</v>
      </c>
    </row>
    <row r="29" spans="1:4" ht="12">
      <c r="A29" s="41" t="s">
        <v>1348</v>
      </c>
      <c r="B29" s="5">
        <f t="shared" si="0"/>
        <v>210</v>
      </c>
      <c r="C29" s="5">
        <f>kiö!$AJ$109</f>
        <v>210</v>
      </c>
      <c r="D29" s="44"/>
    </row>
    <row r="30" spans="1:4" ht="12">
      <c r="A30" s="41" t="s">
        <v>1349</v>
      </c>
      <c r="B30" s="5">
        <f t="shared" si="0"/>
        <v>27765</v>
      </c>
      <c r="C30" s="5">
        <f>kiö!$AJ$110</f>
        <v>27765</v>
      </c>
      <c r="D30" s="44"/>
    </row>
    <row r="31" spans="1:4" s="9" customFormat="1" ht="12">
      <c r="A31" s="2" t="s">
        <v>1350</v>
      </c>
      <c r="B31" s="4">
        <f t="shared" si="0"/>
        <v>27975</v>
      </c>
      <c r="C31" s="4">
        <f>SUM(C29:C30)</f>
        <v>27975</v>
      </c>
      <c r="D31" s="8">
        <f>SUM(D29:D30)</f>
        <v>0</v>
      </c>
    </row>
    <row r="32" spans="1:4" ht="12">
      <c r="A32" s="41" t="s">
        <v>954</v>
      </c>
      <c r="B32" s="5">
        <f t="shared" si="0"/>
        <v>566</v>
      </c>
      <c r="C32" s="5"/>
      <c r="D32" s="44">
        <f>kiö!$AJ$111</f>
        <v>566</v>
      </c>
    </row>
    <row r="33" spans="1:4" ht="12">
      <c r="A33" s="41" t="s">
        <v>1424</v>
      </c>
      <c r="B33" s="5">
        <f t="shared" si="0"/>
        <v>589</v>
      </c>
      <c r="C33" s="5"/>
      <c r="D33" s="44">
        <f>kiö!$AJ$112</f>
        <v>589</v>
      </c>
    </row>
    <row r="34" spans="1:4" s="9" customFormat="1" ht="12">
      <c r="A34" s="2" t="s">
        <v>1425</v>
      </c>
      <c r="B34" s="4">
        <f t="shared" si="0"/>
        <v>1155</v>
      </c>
      <c r="C34" s="4">
        <f>SUM(C32:C33)</f>
        <v>0</v>
      </c>
      <c r="D34" s="8">
        <f>SUM(D32:D33)</f>
        <v>1155</v>
      </c>
    </row>
    <row r="35" spans="1:4" s="9" customFormat="1" ht="12">
      <c r="A35" s="2" t="s">
        <v>1426</v>
      </c>
      <c r="B35" s="4">
        <f t="shared" si="0"/>
        <v>21427</v>
      </c>
      <c r="C35" s="4">
        <f>kiö!$AJ$129</f>
        <v>21427</v>
      </c>
      <c r="D35" s="8"/>
    </row>
    <row r="36" spans="1:4" s="61" customFormat="1" ht="12">
      <c r="A36" s="56" t="s">
        <v>1352</v>
      </c>
      <c r="B36" s="58">
        <f t="shared" si="0"/>
        <v>50557</v>
      </c>
      <c r="C36" s="58">
        <f>C28+C31+C34+C35</f>
        <v>49402</v>
      </c>
      <c r="D36" s="59">
        <f>D28+D31+D34+D35</f>
        <v>1155</v>
      </c>
    </row>
    <row r="37" spans="1:4" ht="12">
      <c r="A37" s="41" t="s">
        <v>1353</v>
      </c>
      <c r="B37" s="5">
        <f t="shared" si="0"/>
        <v>0</v>
      </c>
      <c r="C37" s="5"/>
      <c r="D37" s="44">
        <f>kiö!$AJ$134</f>
        <v>0</v>
      </c>
    </row>
    <row r="38" spans="1:4" ht="12">
      <c r="A38" s="41" t="s">
        <v>1354</v>
      </c>
      <c r="B38" s="5">
        <f t="shared" si="0"/>
        <v>0</v>
      </c>
      <c r="C38" s="5"/>
      <c r="D38" s="44">
        <f>kiö!$AJ$138</f>
        <v>0</v>
      </c>
    </row>
    <row r="39" spans="1:4" s="61" customFormat="1" ht="12">
      <c r="A39" s="56" t="s">
        <v>1355</v>
      </c>
      <c r="B39" s="58">
        <f t="shared" si="0"/>
        <v>0</v>
      </c>
      <c r="C39" s="58">
        <f>SUM(C37:C38)</f>
        <v>0</v>
      </c>
      <c r="D39" s="59">
        <f>SUM(D37:D38)</f>
        <v>0</v>
      </c>
    </row>
    <row r="40" spans="1:4" ht="12">
      <c r="A40" s="41" t="s">
        <v>1356</v>
      </c>
      <c r="B40" s="5">
        <f t="shared" si="0"/>
        <v>0</v>
      </c>
      <c r="C40" s="5"/>
      <c r="D40" s="44">
        <f>kiö!$AJ$143</f>
        <v>0</v>
      </c>
    </row>
    <row r="41" spans="1:4" ht="12">
      <c r="A41" s="41" t="s">
        <v>486</v>
      </c>
      <c r="B41" s="5">
        <f t="shared" si="0"/>
        <v>0</v>
      </c>
      <c r="C41" s="5"/>
      <c r="D41" s="44">
        <f>kiö!$AJ$148</f>
        <v>0</v>
      </c>
    </row>
    <row r="42" spans="1:4" s="61" customFormat="1" ht="12">
      <c r="A42" s="56" t="s">
        <v>487</v>
      </c>
      <c r="B42" s="58">
        <f t="shared" si="0"/>
        <v>0</v>
      </c>
      <c r="C42" s="58">
        <f>SUM(C40:C41)</f>
        <v>0</v>
      </c>
      <c r="D42" s="59">
        <f>SUM(D40:D41)</f>
        <v>0</v>
      </c>
    </row>
    <row r="43" spans="1:4" ht="12">
      <c r="A43" s="41" t="s">
        <v>490</v>
      </c>
      <c r="B43" s="5">
        <f t="shared" si="0"/>
        <v>4000</v>
      </c>
      <c r="C43" s="5">
        <f>kiö!$AJ$154</f>
        <v>4000</v>
      </c>
      <c r="D43" s="44"/>
    </row>
    <row r="44" spans="1:4" ht="12">
      <c r="A44" s="41" t="s">
        <v>1427</v>
      </c>
      <c r="B44" s="5">
        <f t="shared" si="0"/>
        <v>2333</v>
      </c>
      <c r="C44" s="5"/>
      <c r="D44" s="44">
        <f>kiö!$AJ$155</f>
        <v>2333</v>
      </c>
    </row>
    <row r="45" spans="1:4" s="61" customFormat="1" ht="12">
      <c r="A45" s="56" t="s">
        <v>1540</v>
      </c>
      <c r="B45" s="58">
        <f t="shared" si="0"/>
        <v>6333</v>
      </c>
      <c r="C45" s="58">
        <f>SUM(C43:C44)</f>
        <v>4000</v>
      </c>
      <c r="D45" s="58">
        <f>SUM(D43:D44)</f>
        <v>2333</v>
      </c>
    </row>
    <row r="46" spans="1:4" ht="12">
      <c r="A46" s="41" t="s">
        <v>1428</v>
      </c>
      <c r="B46" s="5">
        <v>600</v>
      </c>
      <c r="C46" s="5">
        <f>kiö!$AJ$157</f>
        <v>600</v>
      </c>
      <c r="D46" s="44"/>
    </row>
    <row r="47" spans="1:4" ht="12">
      <c r="A47" s="41" t="s">
        <v>1429</v>
      </c>
      <c r="B47" s="5">
        <f t="shared" si="0"/>
        <v>200</v>
      </c>
      <c r="C47" s="5"/>
      <c r="D47" s="44">
        <f>kiö!$AJ$158</f>
        <v>200</v>
      </c>
    </row>
    <row r="48" spans="1:4" s="61" customFormat="1" ht="12">
      <c r="A48" s="56" t="s">
        <v>1430</v>
      </c>
      <c r="B48" s="58">
        <f t="shared" si="0"/>
        <v>800</v>
      </c>
      <c r="C48" s="58">
        <f>SUM(C46:C47)</f>
        <v>600</v>
      </c>
      <c r="D48" s="59">
        <f>SUM(D46:D47)</f>
        <v>200</v>
      </c>
    </row>
    <row r="49" spans="1:4" s="61" customFormat="1" ht="12">
      <c r="A49" s="56" t="s">
        <v>489</v>
      </c>
      <c r="B49" s="58">
        <f>B11+B17+B23+B27+B36+B39+B42+B45+B48</f>
        <v>128062</v>
      </c>
      <c r="C49" s="58">
        <f>C11+C17+C23+C27+C36+C39+C42+C45+C48</f>
        <v>124374</v>
      </c>
      <c r="D49" s="59">
        <f>D11+D17+D23+D27+D36+D39+D42+D45+D48</f>
        <v>3688</v>
      </c>
    </row>
    <row r="50" spans="1:4" s="27" customFormat="1" ht="11.25">
      <c r="A50" s="30" t="s">
        <v>1412</v>
      </c>
      <c r="B50" s="26">
        <f>B28</f>
        <v>0</v>
      </c>
      <c r="C50" s="26">
        <f>C28</f>
        <v>0</v>
      </c>
      <c r="D50" s="31">
        <f>D28</f>
        <v>0</v>
      </c>
    </row>
    <row r="51" spans="1:4" s="145" customFormat="1" ht="12">
      <c r="A51" s="148" t="s">
        <v>1413</v>
      </c>
      <c r="B51" s="147">
        <f>B49-B50</f>
        <v>128062</v>
      </c>
      <c r="C51" s="147">
        <f>C49-C50</f>
        <v>124374</v>
      </c>
      <c r="D51" s="149">
        <f>D49-D50</f>
        <v>3688</v>
      </c>
    </row>
    <row r="52" spans="1:4" ht="12">
      <c r="A52" s="49"/>
      <c r="B52" s="51"/>
      <c r="C52" s="51"/>
      <c r="D52" s="53"/>
    </row>
    <row r="53" spans="1:2" ht="12">
      <c r="A53" s="87"/>
      <c r="B53" s="152"/>
    </row>
  </sheetData>
  <sheetProtection/>
  <mergeCells count="6">
    <mergeCell ref="A1:A6"/>
    <mergeCell ref="B1:D2"/>
    <mergeCell ref="C3:D4"/>
    <mergeCell ref="C5:C6"/>
    <mergeCell ref="D5:D6"/>
    <mergeCell ref="B3:B6"/>
  </mergeCells>
  <printOptions horizontalCentered="1"/>
  <pageMargins left="0.3937007874015748" right="0.3937007874015748" top="1.62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dőlt"&amp;12Tiszagyulaháza 2008.évi költségvetési kiadásainak 
részletezése kiadási jogcímenként&amp;R&amp;"Arial,Dőlt"&amp;8 4.számú melléklet
adatok ezer forintban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2" width="4.75390625" style="37" customWidth="1"/>
    <col min="3" max="3" width="31.125" style="37" bestFit="1" customWidth="1"/>
    <col min="4" max="5" width="12.875" style="55" bestFit="1" customWidth="1"/>
    <col min="6" max="6" width="11.875" style="55" bestFit="1" customWidth="1"/>
    <col min="7" max="16384" width="9.125" style="37" customWidth="1"/>
  </cols>
  <sheetData>
    <row r="1" spans="1:6" ht="12">
      <c r="A1" s="413" t="s">
        <v>1416</v>
      </c>
      <c r="B1" s="415"/>
      <c r="C1" s="356" t="s">
        <v>347</v>
      </c>
      <c r="D1" s="366" t="s">
        <v>339</v>
      </c>
      <c r="E1" s="525"/>
      <c r="F1" s="401"/>
    </row>
    <row r="2" spans="1:6" ht="12">
      <c r="A2" s="416"/>
      <c r="B2" s="418"/>
      <c r="C2" s="353"/>
      <c r="D2" s="526"/>
      <c r="E2" s="527"/>
      <c r="F2" s="528"/>
    </row>
    <row r="3" spans="1:6" ht="12">
      <c r="A3" s="516" t="s">
        <v>320</v>
      </c>
      <c r="B3" s="531" t="s">
        <v>1418</v>
      </c>
      <c r="C3" s="353"/>
      <c r="D3" s="405" t="s">
        <v>242</v>
      </c>
      <c r="E3" s="366" t="s">
        <v>341</v>
      </c>
      <c r="F3" s="401"/>
    </row>
    <row r="4" spans="1:6" ht="12">
      <c r="A4" s="516"/>
      <c r="B4" s="531"/>
      <c r="C4" s="353"/>
      <c r="D4" s="405"/>
      <c r="E4" s="526"/>
      <c r="F4" s="528"/>
    </row>
    <row r="5" spans="1:6" ht="12">
      <c r="A5" s="516"/>
      <c r="B5" s="531"/>
      <c r="C5" s="353"/>
      <c r="D5" s="405"/>
      <c r="E5" s="405" t="s">
        <v>491</v>
      </c>
      <c r="F5" s="402" t="s">
        <v>343</v>
      </c>
    </row>
    <row r="6" spans="1:6" ht="12.75" thickBot="1">
      <c r="A6" s="517"/>
      <c r="B6" s="533"/>
      <c r="C6" s="352"/>
      <c r="D6" s="406"/>
      <c r="E6" s="406"/>
      <c r="F6" s="403"/>
    </row>
    <row r="7" spans="1:6" ht="12.75" thickTop="1">
      <c r="A7" s="41"/>
      <c r="B7" s="42"/>
      <c r="C7" s="41"/>
      <c r="D7" s="5"/>
      <c r="E7" s="5"/>
      <c r="F7" s="44"/>
    </row>
    <row r="8" spans="1:6" ht="12">
      <c r="A8" s="43">
        <v>10</v>
      </c>
      <c r="B8" s="531" t="s">
        <v>492</v>
      </c>
      <c r="C8" s="56" t="s">
        <v>493</v>
      </c>
      <c r="D8" s="58">
        <f>SUM(D9:D15)</f>
        <v>61619</v>
      </c>
      <c r="E8" s="58">
        <f>E9+E10+E11+E12+E13+E14+E15</f>
        <v>57943</v>
      </c>
      <c r="F8" s="59">
        <f>F9+F10+F11+F12+F13+F14+F15</f>
        <v>3676</v>
      </c>
    </row>
    <row r="9" spans="1:6" ht="12">
      <c r="A9" s="41"/>
      <c r="B9" s="531"/>
      <c r="C9" s="41" t="s">
        <v>1363</v>
      </c>
      <c r="D9" s="5">
        <f aca="true" t="shared" si="0" ref="D9:D16">E9+F9</f>
        <v>10350</v>
      </c>
      <c r="E9" s="5">
        <f>kiö!$E$47</f>
        <v>10350</v>
      </c>
      <c r="F9" s="44"/>
    </row>
    <row r="10" spans="1:6" ht="12">
      <c r="A10" s="41"/>
      <c r="B10" s="531"/>
      <c r="C10" s="41" t="s">
        <v>1364</v>
      </c>
      <c r="D10" s="5">
        <f t="shared" si="0"/>
        <v>3140</v>
      </c>
      <c r="E10" s="5">
        <f>kiö!$E$54</f>
        <v>3140</v>
      </c>
      <c r="F10" s="44"/>
    </row>
    <row r="11" spans="1:6" ht="12">
      <c r="A11" s="41"/>
      <c r="B11" s="531"/>
      <c r="C11" s="41" t="s">
        <v>1365</v>
      </c>
      <c r="D11" s="5">
        <v>6810</v>
      </c>
      <c r="E11" s="5">
        <v>6810</v>
      </c>
      <c r="F11" s="44"/>
    </row>
    <row r="12" spans="1:6" ht="12">
      <c r="A12" s="41"/>
      <c r="B12" s="531"/>
      <c r="C12" s="41" t="s">
        <v>1446</v>
      </c>
      <c r="D12" s="5">
        <f t="shared" si="0"/>
        <v>9246</v>
      </c>
      <c r="E12" s="5">
        <f>kiö!$E$106</f>
        <v>9246</v>
      </c>
      <c r="F12" s="44"/>
    </row>
    <row r="13" spans="1:6" ht="12">
      <c r="A13" s="41"/>
      <c r="B13" s="531"/>
      <c r="C13" s="41" t="s">
        <v>1352</v>
      </c>
      <c r="D13" s="5">
        <f t="shared" si="0"/>
        <v>24940</v>
      </c>
      <c r="E13" s="5">
        <f>kiö!$E$108+kiö!$E$109+kiö!$E$110+kiö!$E$129</f>
        <v>23797</v>
      </c>
      <c r="F13" s="44">
        <f>kiö!$E$111+kiö!$E$112</f>
        <v>1143</v>
      </c>
    </row>
    <row r="14" spans="1:6" ht="12">
      <c r="A14" s="41"/>
      <c r="B14" s="531"/>
      <c r="C14" s="41" t="s">
        <v>1481</v>
      </c>
      <c r="D14" s="5">
        <f t="shared" si="0"/>
        <v>0</v>
      </c>
      <c r="E14" s="5"/>
      <c r="F14" s="44">
        <f>kiö!$E$134+kiö!$E$138+kiö!$E$143+kiö!$E$148+kiö!$E$152</f>
        <v>0</v>
      </c>
    </row>
    <row r="15" spans="1:6" ht="12">
      <c r="A15" s="41"/>
      <c r="B15" s="531"/>
      <c r="C15" s="41" t="s">
        <v>1366</v>
      </c>
      <c r="D15" s="5">
        <f t="shared" si="0"/>
        <v>7133</v>
      </c>
      <c r="E15" s="5">
        <f>kiö!$E$154+kiö!$E$157</f>
        <v>4600</v>
      </c>
      <c r="F15" s="44">
        <f>kiö!$E$155+kiö!$E$158</f>
        <v>2533</v>
      </c>
    </row>
    <row r="16" spans="1:6" ht="12">
      <c r="A16" s="41"/>
      <c r="B16" s="531"/>
      <c r="C16" s="41" t="s">
        <v>1367</v>
      </c>
      <c r="D16" s="5">
        <f t="shared" si="0"/>
        <v>2</v>
      </c>
      <c r="E16" s="5">
        <v>2</v>
      </c>
      <c r="F16" s="44">
        <v>0</v>
      </c>
    </row>
    <row r="17" spans="1:6" ht="12">
      <c r="A17" s="41"/>
      <c r="B17" s="42"/>
      <c r="C17" s="41"/>
      <c r="D17" s="5"/>
      <c r="E17" s="5"/>
      <c r="F17" s="44"/>
    </row>
    <row r="18" spans="1:6" ht="12">
      <c r="A18" s="41"/>
      <c r="B18" s="42"/>
      <c r="C18" s="41"/>
      <c r="D18" s="5"/>
      <c r="E18" s="5"/>
      <c r="F18" s="44"/>
    </row>
    <row r="19" spans="1:6" ht="12">
      <c r="A19" s="41">
        <v>11</v>
      </c>
      <c r="B19" s="448" t="s">
        <v>916</v>
      </c>
      <c r="C19" s="56" t="s">
        <v>493</v>
      </c>
      <c r="D19" s="58">
        <f aca="true" t="shared" si="1" ref="D19:D27">E19+F19</f>
        <v>7443</v>
      </c>
      <c r="E19" s="58">
        <f>E20+E21+E22+E23+E24+E25+E26</f>
        <v>7443</v>
      </c>
      <c r="F19" s="59">
        <f>F20+F21+F22+F23+F24+F25+F26</f>
        <v>0</v>
      </c>
    </row>
    <row r="20" spans="1:6" ht="12">
      <c r="A20" s="41"/>
      <c r="B20" s="448"/>
      <c r="C20" s="41" t="s">
        <v>1363</v>
      </c>
      <c r="D20" s="5">
        <f t="shared" si="1"/>
        <v>1297</v>
      </c>
      <c r="E20" s="5">
        <f>kiö!$H$47</f>
        <v>1297</v>
      </c>
      <c r="F20" s="44"/>
    </row>
    <row r="21" spans="1:6" ht="12">
      <c r="A21" s="41"/>
      <c r="B21" s="448"/>
      <c r="C21" s="41" t="s">
        <v>1364</v>
      </c>
      <c r="D21" s="5">
        <f t="shared" si="1"/>
        <v>415</v>
      </c>
      <c r="E21" s="5">
        <f>kiö!$H$54</f>
        <v>415</v>
      </c>
      <c r="F21" s="44"/>
    </row>
    <row r="22" spans="1:6" ht="12">
      <c r="A22" s="41"/>
      <c r="B22" s="448"/>
      <c r="C22" s="41" t="s">
        <v>1365</v>
      </c>
      <c r="D22" s="5">
        <f t="shared" si="1"/>
        <v>5731</v>
      </c>
      <c r="E22" s="5">
        <f>kiö!$H$93</f>
        <v>5731</v>
      </c>
      <c r="F22" s="44"/>
    </row>
    <row r="23" spans="1:6" ht="12">
      <c r="A23" s="41"/>
      <c r="B23" s="448"/>
      <c r="C23" s="41" t="s">
        <v>1446</v>
      </c>
      <c r="D23" s="5">
        <f t="shared" si="1"/>
        <v>0</v>
      </c>
      <c r="E23" s="5">
        <f>kiö!$H$106</f>
        <v>0</v>
      </c>
      <c r="F23" s="44"/>
    </row>
    <row r="24" spans="1:6" ht="12">
      <c r="A24" s="41"/>
      <c r="B24" s="448"/>
      <c r="C24" s="41" t="s">
        <v>1352</v>
      </c>
      <c r="D24" s="5">
        <f t="shared" si="1"/>
        <v>0</v>
      </c>
      <c r="E24" s="5">
        <f>kiö!$H$108+kiö!$H$109+kiö!$H$110+kiö!$H$129</f>
        <v>0</v>
      </c>
      <c r="F24" s="44">
        <f>kiö!$H$111+kiö!$H$112</f>
        <v>0</v>
      </c>
    </row>
    <row r="25" spans="1:6" ht="12">
      <c r="A25" s="41"/>
      <c r="B25" s="448"/>
      <c r="C25" s="41" t="s">
        <v>1481</v>
      </c>
      <c r="D25" s="5">
        <f t="shared" si="1"/>
        <v>0</v>
      </c>
      <c r="E25" s="5"/>
      <c r="F25" s="44">
        <f>kiö!$H$134+kiö!$H$138+kiö!$H$143+kiö!$H$148+kiö!$H$152</f>
        <v>0</v>
      </c>
    </row>
    <row r="26" spans="1:6" ht="12">
      <c r="A26" s="41"/>
      <c r="B26" s="448"/>
      <c r="C26" s="41" t="s">
        <v>488</v>
      </c>
      <c r="D26" s="5">
        <f t="shared" si="1"/>
        <v>0</v>
      </c>
      <c r="E26" s="5">
        <f>kiö!$H$154+kiö!$H$157</f>
        <v>0</v>
      </c>
      <c r="F26" s="44">
        <f>kiö!$H$155+kiö!$H$158</f>
        <v>0</v>
      </c>
    </row>
    <row r="27" spans="1:6" ht="12">
      <c r="A27" s="41"/>
      <c r="B27" s="448"/>
      <c r="C27" s="41" t="s">
        <v>1367</v>
      </c>
      <c r="D27" s="5">
        <f t="shared" si="1"/>
        <v>1</v>
      </c>
      <c r="E27" s="5">
        <v>1</v>
      </c>
      <c r="F27" s="44"/>
    </row>
    <row r="28" spans="1:6" ht="12">
      <c r="A28" s="41"/>
      <c r="B28" s="42"/>
      <c r="C28" s="41"/>
      <c r="D28" s="5"/>
      <c r="E28" s="5"/>
      <c r="F28" s="44"/>
    </row>
    <row r="29" spans="1:6" ht="12">
      <c r="A29" s="43">
        <v>12</v>
      </c>
      <c r="B29" s="531" t="s">
        <v>1368</v>
      </c>
      <c r="C29" s="56" t="s">
        <v>493</v>
      </c>
      <c r="D29" s="58">
        <f aca="true" t="shared" si="2" ref="D29:D37">E29+F29</f>
        <v>5907</v>
      </c>
      <c r="E29" s="58">
        <f>E30+E31+E32+E33+E34+E35+E36</f>
        <v>5907</v>
      </c>
      <c r="F29" s="59">
        <f>F30+F31+F32+F33+F34+F35+F36</f>
        <v>0</v>
      </c>
    </row>
    <row r="30" spans="1:6" ht="12">
      <c r="A30" s="41"/>
      <c r="B30" s="531"/>
      <c r="C30" s="41" t="s">
        <v>1363</v>
      </c>
      <c r="D30" s="5">
        <f t="shared" si="2"/>
        <v>1162</v>
      </c>
      <c r="E30" s="5">
        <f>kiö!$O$47</f>
        <v>1162</v>
      </c>
      <c r="F30" s="44"/>
    </row>
    <row r="31" spans="1:6" ht="12">
      <c r="A31" s="41"/>
      <c r="B31" s="531"/>
      <c r="C31" s="41" t="s">
        <v>1364</v>
      </c>
      <c r="D31" s="5">
        <f t="shared" si="2"/>
        <v>401</v>
      </c>
      <c r="E31" s="5">
        <f>kiö!$O$54</f>
        <v>401</v>
      </c>
      <c r="F31" s="44"/>
    </row>
    <row r="32" spans="1:6" ht="12">
      <c r="A32" s="41"/>
      <c r="B32" s="531"/>
      <c r="C32" s="41" t="s">
        <v>1365</v>
      </c>
      <c r="D32" s="5">
        <f t="shared" si="2"/>
        <v>4344</v>
      </c>
      <c r="E32" s="5">
        <f>kiö!$O$93</f>
        <v>4344</v>
      </c>
      <c r="F32" s="44"/>
    </row>
    <row r="33" spans="1:6" ht="12">
      <c r="A33" s="41"/>
      <c r="B33" s="531"/>
      <c r="C33" s="41" t="s">
        <v>1446</v>
      </c>
      <c r="D33" s="5">
        <f t="shared" si="2"/>
        <v>0</v>
      </c>
      <c r="E33" s="5">
        <f>kiö!$O$106</f>
        <v>0</v>
      </c>
      <c r="F33" s="44"/>
    </row>
    <row r="34" spans="1:6" ht="12">
      <c r="A34" s="41"/>
      <c r="B34" s="531"/>
      <c r="C34" s="41" t="s">
        <v>1352</v>
      </c>
      <c r="D34" s="5">
        <f t="shared" si="2"/>
        <v>0</v>
      </c>
      <c r="E34" s="5">
        <f>kiö!$O$108+kiö!$O$109+kiö!$O$110+kiö!$O$129</f>
        <v>0</v>
      </c>
      <c r="F34" s="44">
        <f>kiö!$O$111+kiö!$O$112</f>
        <v>0</v>
      </c>
    </row>
    <row r="35" spans="1:6" ht="12">
      <c r="A35" s="41"/>
      <c r="B35" s="531"/>
      <c r="C35" s="41" t="s">
        <v>1481</v>
      </c>
      <c r="D35" s="5">
        <f t="shared" si="2"/>
        <v>0</v>
      </c>
      <c r="E35" s="5"/>
      <c r="F35" s="44">
        <f>kiö!$O$134+kiö!$O$138+kiö!$O$143+kiö!$O$148+kiö!$O$152</f>
        <v>0</v>
      </c>
    </row>
    <row r="36" spans="1:6" ht="12">
      <c r="A36" s="41"/>
      <c r="B36" s="531"/>
      <c r="C36" s="41" t="s">
        <v>488</v>
      </c>
      <c r="D36" s="5">
        <f t="shared" si="2"/>
        <v>0</v>
      </c>
      <c r="E36" s="5">
        <f>kiö!$O$154+kiö!$O$157</f>
        <v>0</v>
      </c>
      <c r="F36" s="44">
        <f>kiö!$O$155+kiö!$O$158</f>
        <v>0</v>
      </c>
    </row>
    <row r="37" spans="1:6" ht="12">
      <c r="A37" s="41"/>
      <c r="B37" s="531"/>
      <c r="C37" s="41" t="s">
        <v>1367</v>
      </c>
      <c r="D37" s="5">
        <f t="shared" si="2"/>
        <v>1</v>
      </c>
      <c r="E37" s="5">
        <v>1</v>
      </c>
      <c r="F37" s="44"/>
    </row>
    <row r="38" spans="1:6" ht="12">
      <c r="A38" s="41"/>
      <c r="B38" s="42"/>
      <c r="C38" s="41"/>
      <c r="D38" s="5"/>
      <c r="E38" s="5"/>
      <c r="F38" s="44"/>
    </row>
    <row r="39" spans="1:6" ht="12">
      <c r="A39" s="41">
        <v>13</v>
      </c>
      <c r="B39" s="531" t="s">
        <v>1369</v>
      </c>
      <c r="C39" s="56" t="s">
        <v>493</v>
      </c>
      <c r="D39" s="58">
        <f aca="true" t="shared" si="3" ref="D39:D47">E39+F39</f>
        <v>32332</v>
      </c>
      <c r="E39" s="58">
        <f>E40+E41+E42+E43+E44+E45+E46</f>
        <v>32320</v>
      </c>
      <c r="F39" s="59">
        <f>F40+F41+F42+F43+F44+F45+F46</f>
        <v>12</v>
      </c>
    </row>
    <row r="40" spans="1:6" ht="12">
      <c r="A40" s="41"/>
      <c r="B40" s="531"/>
      <c r="C40" s="41" t="s">
        <v>1363</v>
      </c>
      <c r="D40" s="5">
        <f t="shared" si="3"/>
        <v>4626</v>
      </c>
      <c r="E40" s="5">
        <f>kiö!$Z$47</f>
        <v>4626</v>
      </c>
      <c r="F40" s="44"/>
    </row>
    <row r="41" spans="1:6" ht="12">
      <c r="A41" s="41"/>
      <c r="B41" s="531"/>
      <c r="C41" s="41" t="s">
        <v>1364</v>
      </c>
      <c r="D41" s="5">
        <f t="shared" si="3"/>
        <v>1489</v>
      </c>
      <c r="E41" s="5">
        <f>kiö!$Z$54</f>
        <v>1489</v>
      </c>
      <c r="F41" s="44"/>
    </row>
    <row r="42" spans="1:6" ht="12">
      <c r="A42" s="41"/>
      <c r="B42" s="531"/>
      <c r="C42" s="41" t="s">
        <v>1365</v>
      </c>
      <c r="D42" s="5">
        <f t="shared" si="3"/>
        <v>645</v>
      </c>
      <c r="E42" s="5">
        <f>kiö!$Z$93</f>
        <v>645</v>
      </c>
      <c r="F42" s="44"/>
    </row>
    <row r="43" spans="1:6" ht="12">
      <c r="A43" s="41"/>
      <c r="B43" s="531"/>
      <c r="C43" s="41" t="s">
        <v>1446</v>
      </c>
      <c r="D43" s="5">
        <f t="shared" si="3"/>
        <v>0</v>
      </c>
      <c r="E43" s="5">
        <f>kiö!$Z$106</f>
        <v>0</v>
      </c>
      <c r="F43" s="44"/>
    </row>
    <row r="44" spans="1:6" ht="12">
      <c r="A44" s="41"/>
      <c r="B44" s="531"/>
      <c r="C44" s="41" t="s">
        <v>1352</v>
      </c>
      <c r="D44" s="5">
        <f t="shared" si="3"/>
        <v>25572</v>
      </c>
      <c r="E44" s="5">
        <f>kiö!$Z$108+kiö!$Z$109+kiö!$Z$110+kiö!$Z$129</f>
        <v>25560</v>
      </c>
      <c r="F44" s="44">
        <f>kiö!$Z$111+kiö!$Z$112</f>
        <v>12</v>
      </c>
    </row>
    <row r="45" spans="1:6" ht="12">
      <c r="A45" s="41"/>
      <c r="B45" s="531"/>
      <c r="C45" s="41" t="s">
        <v>1481</v>
      </c>
      <c r="D45" s="5">
        <f t="shared" si="3"/>
        <v>0</v>
      </c>
      <c r="E45" s="5"/>
      <c r="F45" s="44">
        <f>kiö!$Z$134+kiö!$Z$138+kiö!$Z$143+kiö!$Z$148+kiö!$Z$152</f>
        <v>0</v>
      </c>
    </row>
    <row r="46" spans="1:6" ht="12">
      <c r="A46" s="41"/>
      <c r="B46" s="531"/>
      <c r="C46" s="41" t="s">
        <v>488</v>
      </c>
      <c r="D46" s="5">
        <f t="shared" si="3"/>
        <v>0</v>
      </c>
      <c r="E46" s="5">
        <f>kiö!$Z$154+kiö!$Z$157</f>
        <v>0</v>
      </c>
      <c r="F46" s="44">
        <f>kiö!$Z$155+kiö!$Z$158</f>
        <v>0</v>
      </c>
    </row>
    <row r="47" spans="1:6" ht="12">
      <c r="A47" s="41"/>
      <c r="B47" s="531"/>
      <c r="C47" s="41" t="s">
        <v>1367</v>
      </c>
      <c r="D47" s="5">
        <f t="shared" si="3"/>
        <v>6</v>
      </c>
      <c r="E47" s="5">
        <v>6</v>
      </c>
      <c r="F47" s="44"/>
    </row>
    <row r="48" spans="1:6" ht="12">
      <c r="A48" s="49"/>
      <c r="B48" s="52"/>
      <c r="C48" s="49"/>
      <c r="D48" s="51"/>
      <c r="E48" s="51"/>
      <c r="F48" s="53"/>
    </row>
    <row r="49" spans="1:6" ht="12">
      <c r="A49" s="413" t="s">
        <v>1416</v>
      </c>
      <c r="B49" s="415"/>
      <c r="C49" s="356" t="s">
        <v>347</v>
      </c>
      <c r="D49" s="366" t="s">
        <v>339</v>
      </c>
      <c r="E49" s="525"/>
      <c r="F49" s="401"/>
    </row>
    <row r="50" spans="1:6" ht="12">
      <c r="A50" s="416"/>
      <c r="B50" s="418"/>
      <c r="C50" s="353"/>
      <c r="D50" s="526"/>
      <c r="E50" s="527"/>
      <c r="F50" s="528"/>
    </row>
    <row r="51" spans="1:6" ht="12">
      <c r="A51" s="516" t="s">
        <v>320</v>
      </c>
      <c r="B51" s="531" t="s">
        <v>1418</v>
      </c>
      <c r="C51" s="353"/>
      <c r="D51" s="405" t="s">
        <v>242</v>
      </c>
      <c r="E51" s="366" t="s">
        <v>341</v>
      </c>
      <c r="F51" s="401"/>
    </row>
    <row r="52" spans="1:6" ht="12">
      <c r="A52" s="516"/>
      <c r="B52" s="531"/>
      <c r="C52" s="353"/>
      <c r="D52" s="405"/>
      <c r="E52" s="526"/>
      <c r="F52" s="528"/>
    </row>
    <row r="53" spans="1:6" ht="12">
      <c r="A53" s="516"/>
      <c r="B53" s="531"/>
      <c r="C53" s="353"/>
      <c r="D53" s="405"/>
      <c r="E53" s="405" t="s">
        <v>491</v>
      </c>
      <c r="F53" s="402" t="s">
        <v>343</v>
      </c>
    </row>
    <row r="54" spans="1:6" ht="12.75" thickBot="1">
      <c r="A54" s="517"/>
      <c r="B54" s="533"/>
      <c r="C54" s="352"/>
      <c r="D54" s="406"/>
      <c r="E54" s="406"/>
      <c r="F54" s="403"/>
    </row>
    <row r="55" spans="1:6" ht="12.75" thickTop="1">
      <c r="A55" s="134"/>
      <c r="B55" s="135"/>
      <c r="C55" s="135"/>
      <c r="D55" s="153"/>
      <c r="E55" s="153"/>
      <c r="F55" s="44"/>
    </row>
    <row r="56" spans="1:6" ht="12">
      <c r="A56" s="43">
        <v>14</v>
      </c>
      <c r="B56" s="516" t="s">
        <v>1370</v>
      </c>
      <c r="C56" s="56" t="s">
        <v>493</v>
      </c>
      <c r="D56" s="58">
        <f aca="true" t="shared" si="4" ref="D56:D64">E56+F56</f>
        <v>17253</v>
      </c>
      <c r="E56" s="58">
        <f>E57+E58+E59+E60+E61+E62+E63</f>
        <v>17253</v>
      </c>
      <c r="F56" s="59">
        <f>F57+F58+F59+F60+F61+F62+F63</f>
        <v>0</v>
      </c>
    </row>
    <row r="57" spans="1:6" ht="12">
      <c r="A57" s="43"/>
      <c r="B57" s="516"/>
      <c r="C57" s="41" t="s">
        <v>1363</v>
      </c>
      <c r="D57" s="5">
        <f t="shared" si="4"/>
        <v>6394</v>
      </c>
      <c r="E57" s="5">
        <f>kiö!$AF$47</f>
        <v>6394</v>
      </c>
      <c r="F57" s="44"/>
    </row>
    <row r="58" spans="1:6" ht="12">
      <c r="A58" s="43"/>
      <c r="B58" s="516"/>
      <c r="C58" s="41" t="s">
        <v>1364</v>
      </c>
      <c r="D58" s="5">
        <f t="shared" si="4"/>
        <v>2059</v>
      </c>
      <c r="E58" s="5">
        <f>kiö!$AF$54</f>
        <v>2059</v>
      </c>
      <c r="F58" s="44"/>
    </row>
    <row r="59" spans="1:6" ht="12">
      <c r="A59" s="43"/>
      <c r="B59" s="516"/>
      <c r="C59" s="41" t="s">
        <v>1365</v>
      </c>
      <c r="D59" s="5">
        <f t="shared" si="4"/>
        <v>8800</v>
      </c>
      <c r="E59" s="5">
        <f>kiö!$AF$93</f>
        <v>8800</v>
      </c>
      <c r="F59" s="44"/>
    </row>
    <row r="60" spans="1:6" ht="12">
      <c r="A60" s="43"/>
      <c r="B60" s="516"/>
      <c r="C60" s="41" t="s">
        <v>1446</v>
      </c>
      <c r="D60" s="5">
        <f t="shared" si="4"/>
        <v>0</v>
      </c>
      <c r="E60" s="5">
        <f>kiö!$AF$106</f>
        <v>0</v>
      </c>
      <c r="F60" s="44"/>
    </row>
    <row r="61" spans="1:6" ht="12">
      <c r="A61" s="43"/>
      <c r="B61" s="516"/>
      <c r="C61" s="41" t="s">
        <v>1352</v>
      </c>
      <c r="D61" s="5">
        <f t="shared" si="4"/>
        <v>0</v>
      </c>
      <c r="E61" s="5">
        <f>kiö!$AF$108+kiö!$AF$109+kiö!$AF$110+kiö!$AF$129</f>
        <v>0</v>
      </c>
      <c r="F61" s="44">
        <f>kiö!$AF$111+kiö!$AF$112</f>
        <v>0</v>
      </c>
    </row>
    <row r="62" spans="1:6" ht="12">
      <c r="A62" s="43"/>
      <c r="B62" s="516"/>
      <c r="C62" s="41" t="s">
        <v>1481</v>
      </c>
      <c r="D62" s="5">
        <f t="shared" si="4"/>
        <v>0</v>
      </c>
      <c r="E62" s="5"/>
      <c r="F62" s="44">
        <f>kiö!$AF$134+kiö!$AF$138+kiö!$AF$143+kiö!$AF$148+kiö!$AF$152</f>
        <v>0</v>
      </c>
    </row>
    <row r="63" spans="1:6" ht="12">
      <c r="A63" s="43"/>
      <c r="B63" s="516"/>
      <c r="C63" s="41" t="s">
        <v>488</v>
      </c>
      <c r="D63" s="5">
        <f t="shared" si="4"/>
        <v>0</v>
      </c>
      <c r="E63" s="5">
        <f>kiö!$AF$154+kiö!$AF$157</f>
        <v>0</v>
      </c>
      <c r="F63" s="44">
        <f>kiö!$AF$155+kiö!$AF$158</f>
        <v>0</v>
      </c>
    </row>
    <row r="64" spans="1:6" ht="12">
      <c r="A64" s="43"/>
      <c r="B64" s="516"/>
      <c r="C64" s="41" t="s">
        <v>1367</v>
      </c>
      <c r="D64" s="5">
        <f t="shared" si="4"/>
        <v>5</v>
      </c>
      <c r="E64" s="5">
        <v>5</v>
      </c>
      <c r="F64" s="44"/>
    </row>
    <row r="65" spans="1:6" ht="12">
      <c r="A65" s="43"/>
      <c r="B65" s="41"/>
      <c r="C65" s="41"/>
      <c r="D65" s="5"/>
      <c r="E65" s="5"/>
      <c r="F65" s="44"/>
    </row>
    <row r="66" spans="1:6" ht="12">
      <c r="A66" s="43">
        <v>15</v>
      </c>
      <c r="B66" s="516" t="s">
        <v>1371</v>
      </c>
      <c r="C66" s="56" t="s">
        <v>493</v>
      </c>
      <c r="D66" s="58">
        <f aca="true" t="shared" si="5" ref="D66:D74">E66+F66</f>
        <v>3508</v>
      </c>
      <c r="E66" s="58">
        <f>E67+E68+E69+E70+E71+E72+E73</f>
        <v>3508</v>
      </c>
      <c r="F66" s="59">
        <f>F67+F68+F69+F70+F71+F72+F73</f>
        <v>0</v>
      </c>
    </row>
    <row r="67" spans="1:6" ht="12">
      <c r="A67" s="43"/>
      <c r="B67" s="516"/>
      <c r="C67" s="41" t="s">
        <v>1363</v>
      </c>
      <c r="D67" s="5">
        <f t="shared" si="5"/>
        <v>1816</v>
      </c>
      <c r="E67" s="5">
        <f>kiö!$AI$47</f>
        <v>1816</v>
      </c>
      <c r="F67" s="44"/>
    </row>
    <row r="68" spans="1:6" ht="12">
      <c r="A68" s="43"/>
      <c r="B68" s="516"/>
      <c r="C68" s="41" t="s">
        <v>1364</v>
      </c>
      <c r="D68" s="5">
        <f t="shared" si="5"/>
        <v>582</v>
      </c>
      <c r="E68" s="5">
        <f>kiö!$AI$54</f>
        <v>582</v>
      </c>
      <c r="F68" s="44"/>
    </row>
    <row r="69" spans="1:6" ht="12">
      <c r="A69" s="43"/>
      <c r="B69" s="516"/>
      <c r="C69" s="41" t="s">
        <v>1365</v>
      </c>
      <c r="D69" s="5">
        <f t="shared" si="5"/>
        <v>1065</v>
      </c>
      <c r="E69" s="5">
        <f>kiö!$AI$93</f>
        <v>1065</v>
      </c>
      <c r="F69" s="44"/>
    </row>
    <row r="70" spans="1:6" ht="12">
      <c r="A70" s="43"/>
      <c r="B70" s="516"/>
      <c r="C70" s="41" t="s">
        <v>1446</v>
      </c>
      <c r="D70" s="5">
        <f t="shared" si="5"/>
        <v>0</v>
      </c>
      <c r="E70" s="5">
        <f>kiö!$AI$106</f>
        <v>0</v>
      </c>
      <c r="F70" s="44"/>
    </row>
    <row r="71" spans="1:6" ht="12">
      <c r="A71" s="43"/>
      <c r="B71" s="516"/>
      <c r="C71" s="41" t="s">
        <v>1352</v>
      </c>
      <c r="D71" s="5">
        <f t="shared" si="5"/>
        <v>45</v>
      </c>
      <c r="E71" s="5">
        <f>kiö!$AI$108+kiö!$AI$109+kiö!$AI$110+kiö!$AI$129</f>
        <v>45</v>
      </c>
      <c r="F71" s="44">
        <f>kiö!$AI$111+kiö!$AI$112</f>
        <v>0</v>
      </c>
    </row>
    <row r="72" spans="1:6" ht="12">
      <c r="A72" s="43"/>
      <c r="B72" s="516"/>
      <c r="C72" s="41" t="s">
        <v>1481</v>
      </c>
      <c r="D72" s="5">
        <f t="shared" si="5"/>
        <v>0</v>
      </c>
      <c r="E72" s="5"/>
      <c r="F72" s="44">
        <f>kiö!$AI$134+kiö!$AI$138+kiö!$AI$143+kiö!$AI$148+kiö!$AI$152</f>
        <v>0</v>
      </c>
    </row>
    <row r="73" spans="1:6" ht="12">
      <c r="A73" s="43"/>
      <c r="B73" s="516"/>
      <c r="C73" s="41" t="s">
        <v>488</v>
      </c>
      <c r="D73" s="5">
        <f t="shared" si="5"/>
        <v>0</v>
      </c>
      <c r="E73" s="5">
        <f>kiö!$AI$154+kiö!$AI$157</f>
        <v>0</v>
      </c>
      <c r="F73" s="44">
        <f>kiö!$AI$155+kiö!$AI$158</f>
        <v>0</v>
      </c>
    </row>
    <row r="74" spans="1:6" ht="12">
      <c r="A74" s="43"/>
      <c r="B74" s="516"/>
      <c r="C74" s="41" t="s">
        <v>1367</v>
      </c>
      <c r="D74" s="5">
        <f t="shared" si="5"/>
        <v>1</v>
      </c>
      <c r="E74" s="5">
        <v>1</v>
      </c>
      <c r="F74" s="44"/>
    </row>
    <row r="75" spans="1:6" ht="12">
      <c r="A75" s="43"/>
      <c r="B75" s="41"/>
      <c r="C75" s="41"/>
      <c r="D75" s="5"/>
      <c r="E75" s="5"/>
      <c r="F75" s="44"/>
    </row>
    <row r="76" spans="1:6" ht="12">
      <c r="A76" s="43"/>
      <c r="B76" s="41"/>
      <c r="C76" s="41"/>
      <c r="D76" s="5"/>
      <c r="E76" s="5"/>
      <c r="F76" s="44"/>
    </row>
    <row r="77" spans="1:6" ht="12">
      <c r="A77" s="43"/>
      <c r="B77" s="516" t="s">
        <v>1373</v>
      </c>
      <c r="C77" s="56" t="s">
        <v>493</v>
      </c>
      <c r="D77" s="58">
        <f>D8+D19+D29+D39+D56+D66</f>
        <v>128062</v>
      </c>
      <c r="E77" s="58">
        <f>E8+E19+E29+E39+E56+E66</f>
        <v>124374</v>
      </c>
      <c r="F77" s="58">
        <f>F8+F19+F29+F39+F56+F66</f>
        <v>3688</v>
      </c>
    </row>
    <row r="78" spans="1:6" ht="12">
      <c r="A78" s="43"/>
      <c r="B78" s="516"/>
      <c r="C78" s="41" t="s">
        <v>1363</v>
      </c>
      <c r="D78" s="5">
        <f aca="true" t="shared" si="6" ref="D78:F85">D9+D20+D30+D40+D57+D67</f>
        <v>25645</v>
      </c>
      <c r="E78" s="5">
        <f t="shared" si="6"/>
        <v>25645</v>
      </c>
      <c r="F78" s="5">
        <f t="shared" si="6"/>
        <v>0</v>
      </c>
    </row>
    <row r="79" spans="1:6" ht="12">
      <c r="A79" s="43"/>
      <c r="B79" s="516"/>
      <c r="C79" s="41" t="s">
        <v>1364</v>
      </c>
      <c r="D79" s="5">
        <f t="shared" si="6"/>
        <v>8086</v>
      </c>
      <c r="E79" s="5">
        <f t="shared" si="6"/>
        <v>8086</v>
      </c>
      <c r="F79" s="5">
        <f t="shared" si="6"/>
        <v>0</v>
      </c>
    </row>
    <row r="80" spans="1:6" ht="12">
      <c r="A80" s="43"/>
      <c r="B80" s="516"/>
      <c r="C80" s="41" t="s">
        <v>1365</v>
      </c>
      <c r="D80" s="5">
        <f>D11+D22+D32+D42+D59+D69</f>
        <v>27395</v>
      </c>
      <c r="E80" s="5">
        <f t="shared" si="6"/>
        <v>27395</v>
      </c>
      <c r="F80" s="5">
        <f t="shared" si="6"/>
        <v>0</v>
      </c>
    </row>
    <row r="81" spans="1:6" s="27" customFormat="1" ht="12">
      <c r="A81" s="43"/>
      <c r="B81" s="516"/>
      <c r="C81" s="41" t="s">
        <v>1446</v>
      </c>
      <c r="D81" s="5">
        <f t="shared" si="6"/>
        <v>9246</v>
      </c>
      <c r="E81" s="5">
        <f t="shared" si="6"/>
        <v>9246</v>
      </c>
      <c r="F81" s="5">
        <f t="shared" si="6"/>
        <v>0</v>
      </c>
    </row>
    <row r="82" spans="1:6" s="145" customFormat="1" ht="12">
      <c r="A82" s="43"/>
      <c r="B82" s="516"/>
      <c r="C82" s="41" t="s">
        <v>1352</v>
      </c>
      <c r="D82" s="5">
        <f t="shared" si="6"/>
        <v>50557</v>
      </c>
      <c r="E82" s="5">
        <f t="shared" si="6"/>
        <v>49402</v>
      </c>
      <c r="F82" s="5">
        <f t="shared" si="6"/>
        <v>1155</v>
      </c>
    </row>
    <row r="83" spans="1:6" ht="12">
      <c r="A83" s="43"/>
      <c r="B83" s="516"/>
      <c r="C83" s="41" t="s">
        <v>1481</v>
      </c>
      <c r="D83" s="5">
        <f t="shared" si="6"/>
        <v>0</v>
      </c>
      <c r="E83" s="5">
        <f t="shared" si="6"/>
        <v>0</v>
      </c>
      <c r="F83" s="5">
        <f t="shared" si="6"/>
        <v>0</v>
      </c>
    </row>
    <row r="84" spans="1:6" ht="12">
      <c r="A84" s="43"/>
      <c r="B84" s="516"/>
      <c r="C84" s="41" t="s">
        <v>488</v>
      </c>
      <c r="D84" s="5">
        <f t="shared" si="6"/>
        <v>7133</v>
      </c>
      <c r="E84" s="5">
        <f t="shared" si="6"/>
        <v>4600</v>
      </c>
      <c r="F84" s="5">
        <f t="shared" si="6"/>
        <v>2533</v>
      </c>
    </row>
    <row r="85" spans="1:6" ht="12">
      <c r="A85" s="43"/>
      <c r="B85" s="516"/>
      <c r="C85" s="41" t="s">
        <v>1367</v>
      </c>
      <c r="D85" s="5">
        <f t="shared" si="6"/>
        <v>16</v>
      </c>
      <c r="E85" s="5">
        <f t="shared" si="6"/>
        <v>16</v>
      </c>
      <c r="F85" s="5">
        <f t="shared" si="6"/>
        <v>0</v>
      </c>
    </row>
    <row r="86" spans="1:6" ht="12">
      <c r="A86" s="154"/>
      <c r="B86" s="148"/>
      <c r="C86" s="148"/>
      <c r="D86" s="26"/>
      <c r="E86" s="26"/>
      <c r="F86" s="26"/>
    </row>
    <row r="87" spans="1:6" ht="12">
      <c r="A87" s="132"/>
      <c r="B87" s="49"/>
      <c r="C87" s="49"/>
      <c r="D87" s="51"/>
      <c r="E87" s="51"/>
      <c r="F87" s="53"/>
    </row>
  </sheetData>
  <sheetProtection/>
  <mergeCells count="25">
    <mergeCell ref="C49:C54"/>
    <mergeCell ref="D49:F50"/>
    <mergeCell ref="A51:A54"/>
    <mergeCell ref="B51:B54"/>
    <mergeCell ref="D51:D54"/>
    <mergeCell ref="E51:F52"/>
    <mergeCell ref="E53:E54"/>
    <mergeCell ref="F53:F54"/>
    <mergeCell ref="B56:B64"/>
    <mergeCell ref="B66:B74"/>
    <mergeCell ref="B77:B85"/>
    <mergeCell ref="A49:B50"/>
    <mergeCell ref="B8:B16"/>
    <mergeCell ref="B19:B27"/>
    <mergeCell ref="B29:B37"/>
    <mergeCell ref="B39:B47"/>
    <mergeCell ref="A1:B2"/>
    <mergeCell ref="D1:F2"/>
    <mergeCell ref="E3:F4"/>
    <mergeCell ref="E5:E6"/>
    <mergeCell ref="F5:F6"/>
    <mergeCell ref="D3:D6"/>
    <mergeCell ref="A3:A6"/>
    <mergeCell ref="B3:B6"/>
    <mergeCell ref="C1:C6"/>
  </mergeCells>
  <printOptions horizontalCentered="1"/>
  <pageMargins left="0.7874015748031497" right="0.7874015748031497" top="1.47" bottom="0.72" header="0.5118110236220472" footer="0.5118110236220472"/>
  <pageSetup horizontalDpi="600" verticalDpi="600" orientation="portrait" paperSize="9" r:id="rId1"/>
  <headerFooter alignWithMargins="0">
    <oddHeader>&amp;C
&amp;"Arial,Félkövér dőlt"&amp;12Tiszagyulaháza község 2008.évi költsdégvetési kiadásainak részletezése
 kiadási jogcímenként és költségvetési címenként&amp;R&amp;"Arial,Dőlt"&amp;8 5.számú melléklet
adatok ezer forintban</oddHeader>
    <oddFooter>&amp;C&amp;"Arial,Dőlt"&amp;8&amp;P. oldal</oddFooter>
  </headerFooter>
  <rowBreaks count="1" manualBreakCount="1">
    <brk id="4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7" sqref="E7:E10"/>
    </sheetView>
  </sheetViews>
  <sheetFormatPr defaultColWidth="9.00390625" defaultRowHeight="12.75"/>
  <cols>
    <col min="1" max="2" width="5.25390625" style="37" customWidth="1"/>
    <col min="3" max="3" width="24.375" style="37" bestFit="1" customWidth="1"/>
    <col min="4" max="4" width="27.125" style="37" customWidth="1"/>
    <col min="5" max="5" width="14.125" style="37" customWidth="1"/>
    <col min="6" max="16384" width="9.125" style="37" customWidth="1"/>
  </cols>
  <sheetData>
    <row r="1" spans="1:5" ht="12">
      <c r="A1" s="515" t="s">
        <v>546</v>
      </c>
      <c r="B1" s="413" t="s">
        <v>319</v>
      </c>
      <c r="C1" s="415"/>
      <c r="D1" s="413" t="s">
        <v>547</v>
      </c>
      <c r="E1" s="415"/>
    </row>
    <row r="2" spans="1:5" ht="12">
      <c r="A2" s="516"/>
      <c r="B2" s="416"/>
      <c r="C2" s="418"/>
      <c r="D2" s="416"/>
      <c r="E2" s="418"/>
    </row>
    <row r="3" spans="1:5" ht="12">
      <c r="A3" s="516"/>
      <c r="B3" s="516" t="s">
        <v>548</v>
      </c>
      <c r="C3" s="356" t="s">
        <v>321</v>
      </c>
      <c r="D3" s="353" t="s">
        <v>549</v>
      </c>
      <c r="E3" s="353" t="s">
        <v>1372</v>
      </c>
    </row>
    <row r="4" spans="1:5" ht="12">
      <c r="A4" s="516"/>
      <c r="B4" s="516"/>
      <c r="C4" s="353"/>
      <c r="D4" s="353"/>
      <c r="E4" s="353"/>
    </row>
    <row r="5" spans="1:5" ht="12.75" thickBot="1">
      <c r="A5" s="517"/>
      <c r="B5" s="517"/>
      <c r="C5" s="352"/>
      <c r="D5" s="352"/>
      <c r="E5" s="352"/>
    </row>
    <row r="6" spans="1:5" ht="12.75" thickTop="1">
      <c r="A6" s="41"/>
      <c r="B6" s="155"/>
      <c r="C6" s="42"/>
      <c r="D6" s="41"/>
      <c r="E6" s="5"/>
    </row>
    <row r="7" spans="1:5" ht="12">
      <c r="A7" s="156">
        <v>1</v>
      </c>
      <c r="B7" s="157">
        <v>13</v>
      </c>
      <c r="C7" s="42" t="s">
        <v>917</v>
      </c>
      <c r="D7" s="41" t="s">
        <v>1001</v>
      </c>
      <c r="E7" s="5"/>
    </row>
    <row r="8" spans="1:5" ht="12">
      <c r="A8" s="156"/>
      <c r="B8" s="157"/>
      <c r="C8" s="42"/>
      <c r="D8" s="41"/>
      <c r="E8" s="5"/>
    </row>
    <row r="9" spans="1:5" ht="12">
      <c r="A9" s="156">
        <v>2</v>
      </c>
      <c r="B9" s="157">
        <v>16</v>
      </c>
      <c r="C9" s="42" t="s">
        <v>583</v>
      </c>
      <c r="D9" s="41" t="s">
        <v>584</v>
      </c>
      <c r="E9" s="5"/>
    </row>
    <row r="10" spans="1:5" ht="12">
      <c r="A10" s="156"/>
      <c r="B10" s="157"/>
      <c r="C10" s="42"/>
      <c r="D10" s="41"/>
      <c r="E10" s="5"/>
    </row>
    <row r="11" spans="1:5" ht="12">
      <c r="A11" s="156"/>
      <c r="B11" s="157"/>
      <c r="C11" s="42"/>
      <c r="D11" s="41" t="s">
        <v>550</v>
      </c>
      <c r="E11" s="5">
        <f>SUM(E7:E10)</f>
        <v>0</v>
      </c>
    </row>
    <row r="12" spans="1:5" ht="12">
      <c r="A12" s="49"/>
      <c r="B12" s="158"/>
      <c r="C12" s="52"/>
      <c r="D12" s="49"/>
      <c r="E12" s="51"/>
    </row>
  </sheetData>
  <sheetProtection/>
  <mergeCells count="7">
    <mergeCell ref="D3:D5"/>
    <mergeCell ref="E3:E5"/>
    <mergeCell ref="D1:E2"/>
    <mergeCell ref="A1:A5"/>
    <mergeCell ref="B3:B5"/>
    <mergeCell ref="C3:C5"/>
    <mergeCell ref="B1:C2"/>
  </mergeCells>
  <printOptions horizontalCentered="1"/>
  <pageMargins left="0.984251968503937" right="0.984251968503937" top="3.070866141732284" bottom="0.984251968503937" header="1.4173228346456694" footer="0.5118110236220472"/>
  <pageSetup horizontalDpi="180" verticalDpi="180" orientation="portrait" paperSize="9" r:id="rId1"/>
  <headerFooter alignWithMargins="0">
    <oddHeader>&amp;C
&amp;"Arial,Félkövér dőlt"&amp;12Tiszagyulaháza község 2008. évi felújítási kiadásainak részletezése
felújítási célonként&amp;R&amp;"Arial,Dőlt"&amp;8 6.számú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25390625" style="37" customWidth="1"/>
    <col min="2" max="2" width="6.25390625" style="37" customWidth="1"/>
    <col min="3" max="3" width="31.375" style="37" customWidth="1"/>
    <col min="4" max="4" width="37.75390625" style="37" customWidth="1"/>
    <col min="5" max="5" width="14.75390625" style="37" customWidth="1"/>
    <col min="6" max="16384" width="9.125" style="37" customWidth="1"/>
  </cols>
  <sheetData>
    <row r="1" spans="1:5" ht="12">
      <c r="A1" s="515" t="s">
        <v>546</v>
      </c>
      <c r="B1" s="413" t="s">
        <v>319</v>
      </c>
      <c r="C1" s="415"/>
      <c r="D1" s="413" t="s">
        <v>551</v>
      </c>
      <c r="E1" s="415"/>
    </row>
    <row r="2" spans="1:5" ht="12">
      <c r="A2" s="516"/>
      <c r="B2" s="416"/>
      <c r="C2" s="418"/>
      <c r="D2" s="416"/>
      <c r="E2" s="418"/>
    </row>
    <row r="3" spans="1:5" ht="12">
      <c r="A3" s="516"/>
      <c r="B3" s="353" t="s">
        <v>320</v>
      </c>
      <c r="C3" s="353" t="s">
        <v>321</v>
      </c>
      <c r="D3" s="353" t="s">
        <v>321</v>
      </c>
      <c r="E3" s="353" t="s">
        <v>1372</v>
      </c>
    </row>
    <row r="4" spans="1:5" ht="12">
      <c r="A4" s="516"/>
      <c r="B4" s="353"/>
      <c r="C4" s="353"/>
      <c r="D4" s="353"/>
      <c r="E4" s="353"/>
    </row>
    <row r="5" spans="1:5" ht="12.75" thickBot="1">
      <c r="A5" s="517"/>
      <c r="B5" s="352"/>
      <c r="C5" s="352"/>
      <c r="D5" s="352"/>
      <c r="E5" s="352"/>
    </row>
    <row r="6" spans="1:5" ht="12.75" thickTop="1">
      <c r="A6" s="41"/>
      <c r="B6" s="41"/>
      <c r="C6" s="42"/>
      <c r="D6" s="41"/>
      <c r="E6" s="42"/>
    </row>
    <row r="7" spans="1:5" ht="12">
      <c r="A7" s="43"/>
      <c r="B7" s="43"/>
      <c r="C7" s="42"/>
      <c r="D7" s="41"/>
      <c r="E7" s="42"/>
    </row>
    <row r="8" spans="1:5" ht="12">
      <c r="A8" s="43">
        <v>1</v>
      </c>
      <c r="B8" s="43">
        <v>10</v>
      </c>
      <c r="C8" s="42" t="s">
        <v>324</v>
      </c>
      <c r="D8" s="41" t="s">
        <v>553</v>
      </c>
      <c r="E8" s="44">
        <v>500</v>
      </c>
    </row>
    <row r="9" spans="1:5" ht="12">
      <c r="A9" s="43"/>
      <c r="B9" s="43"/>
      <c r="C9" s="42"/>
      <c r="D9" s="41"/>
      <c r="E9" s="44"/>
    </row>
    <row r="10" spans="1:5" ht="12">
      <c r="A10" s="43">
        <v>2</v>
      </c>
      <c r="B10" s="43">
        <v>10</v>
      </c>
      <c r="C10" s="42" t="s">
        <v>918</v>
      </c>
      <c r="D10" s="88" t="s">
        <v>940</v>
      </c>
      <c r="E10" s="44">
        <v>577</v>
      </c>
    </row>
    <row r="11" spans="1:5" ht="12">
      <c r="A11" s="43"/>
      <c r="B11" s="43"/>
      <c r="C11" s="42"/>
      <c r="D11" s="88"/>
      <c r="E11" s="44"/>
    </row>
    <row r="12" spans="1:5" ht="12">
      <c r="A12" s="43">
        <v>3</v>
      </c>
      <c r="B12" s="43">
        <v>10</v>
      </c>
      <c r="C12" s="42" t="s">
        <v>918</v>
      </c>
      <c r="D12" s="88" t="s">
        <v>939</v>
      </c>
      <c r="E12" s="44">
        <v>2333</v>
      </c>
    </row>
    <row r="13" spans="1:5" ht="12">
      <c r="A13" s="43"/>
      <c r="B13" s="43"/>
      <c r="C13" s="42"/>
      <c r="D13" s="88"/>
      <c r="E13" s="44"/>
    </row>
    <row r="14" spans="1:5" ht="12">
      <c r="A14" s="43">
        <v>4</v>
      </c>
      <c r="B14" s="43">
        <v>10</v>
      </c>
      <c r="C14" s="42" t="s">
        <v>918</v>
      </c>
      <c r="D14" s="88" t="s">
        <v>25</v>
      </c>
      <c r="E14" s="44">
        <v>200</v>
      </c>
    </row>
    <row r="15" spans="1:5" ht="12">
      <c r="A15" s="43"/>
      <c r="B15" s="43"/>
      <c r="C15" s="42"/>
      <c r="D15" s="88"/>
      <c r="E15" s="44"/>
    </row>
    <row r="16" spans="1:5" ht="12">
      <c r="A16" s="43">
        <v>5</v>
      </c>
      <c r="B16" s="43">
        <v>10</v>
      </c>
      <c r="C16" s="42" t="s">
        <v>918</v>
      </c>
      <c r="D16" s="88" t="s">
        <v>354</v>
      </c>
      <c r="E16" s="44">
        <v>66</v>
      </c>
    </row>
    <row r="17" spans="1:5" ht="12">
      <c r="A17" s="43"/>
      <c r="B17" s="43"/>
      <c r="C17" s="42"/>
      <c r="D17" s="88"/>
      <c r="E17" s="44"/>
    </row>
    <row r="18" spans="1:5" ht="12">
      <c r="A18" s="43">
        <v>6</v>
      </c>
      <c r="B18" s="43">
        <v>13</v>
      </c>
      <c r="C18" s="42" t="s">
        <v>26</v>
      </c>
      <c r="D18" s="88" t="s">
        <v>27</v>
      </c>
      <c r="E18" s="44">
        <v>12</v>
      </c>
    </row>
    <row r="19" spans="1:5" ht="12">
      <c r="A19" s="43"/>
      <c r="B19" s="43"/>
      <c r="C19" s="42"/>
      <c r="D19" s="41"/>
      <c r="E19" s="44"/>
    </row>
    <row r="20" spans="1:5" ht="12">
      <c r="A20" s="43"/>
      <c r="B20" s="43"/>
      <c r="C20" s="42" t="s">
        <v>554</v>
      </c>
      <c r="D20" s="41"/>
      <c r="E20" s="48">
        <f>SUM(E8:E19)</f>
        <v>3688</v>
      </c>
    </row>
    <row r="21" spans="1:5" ht="12">
      <c r="A21" s="43"/>
      <c r="B21" s="43"/>
      <c r="C21" s="42"/>
      <c r="D21" s="41"/>
      <c r="E21" s="42"/>
    </row>
    <row r="22" spans="1:5" ht="12">
      <c r="A22" s="132"/>
      <c r="B22" s="132"/>
      <c r="C22" s="52"/>
      <c r="D22" s="49"/>
      <c r="E22" s="52"/>
    </row>
    <row r="23" spans="1:2" ht="12">
      <c r="A23" s="133"/>
      <c r="B23" s="133"/>
    </row>
    <row r="24" ht="12">
      <c r="A24" s="133"/>
    </row>
  </sheetData>
  <sheetProtection/>
  <mergeCells count="7">
    <mergeCell ref="D3:D5"/>
    <mergeCell ref="E3:E5"/>
    <mergeCell ref="D1:E2"/>
    <mergeCell ref="A1:A5"/>
    <mergeCell ref="B3:B5"/>
    <mergeCell ref="C3:C5"/>
    <mergeCell ref="B1:C2"/>
  </mergeCells>
  <printOptions horizontalCentered="1"/>
  <pageMargins left="0.7874015748031497" right="0.7874015748031497" top="2.598425196850394" bottom="0.984251968503937" header="1.220472440944882" footer="0.5118110236220472"/>
  <pageSetup horizontalDpi="600" verticalDpi="600" orientation="landscape" paperSize="9" r:id="rId1"/>
  <headerFooter alignWithMargins="0">
    <oddHeader>&amp;C
&amp;"Arial,Félkövér dőlt"&amp;12Tiszagyulaháza község 2008.évi felhalmozási kiadásainak részletezése
beruházási célonként, és költségvetési cínenként
&amp;R&amp;"Arial,Dőlt"&amp;8 7.számú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94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2" ht="12">
      <c r="A2" s="145" t="s">
        <v>243</v>
      </c>
    </row>
    <row r="4" spans="1:4" ht="40.5" customHeight="1">
      <c r="A4" s="363" t="s">
        <v>1450</v>
      </c>
      <c r="B4" s="361"/>
      <c r="C4" s="361"/>
      <c r="D4" s="361"/>
    </row>
    <row r="6" spans="1:4" ht="30" customHeight="1">
      <c r="A6" s="363" t="s">
        <v>1451</v>
      </c>
      <c r="B6" s="361"/>
      <c r="C6" s="361"/>
      <c r="D6" s="361"/>
    </row>
    <row r="8" ht="12">
      <c r="A8" s="37" t="s">
        <v>255</v>
      </c>
    </row>
    <row r="9" ht="12">
      <c r="A9" s="37" t="s">
        <v>256</v>
      </c>
    </row>
    <row r="11" ht="12">
      <c r="A11" s="61" t="s">
        <v>257</v>
      </c>
    </row>
    <row r="12" ht="12">
      <c r="A12" s="9" t="s">
        <v>1452</v>
      </c>
    </row>
    <row r="13" ht="12">
      <c r="A13" s="9" t="s">
        <v>258</v>
      </c>
    </row>
    <row r="15" spans="1:3" ht="12">
      <c r="A15" s="37" t="s">
        <v>1453</v>
      </c>
      <c r="B15" s="243" t="s">
        <v>1300</v>
      </c>
      <c r="C15" s="243" t="s">
        <v>1301</v>
      </c>
    </row>
    <row r="16" spans="1:3" ht="12">
      <c r="A16" s="37" t="s">
        <v>1454</v>
      </c>
      <c r="B16" s="55">
        <f>kjb!G16+37</f>
        <v>241599.5</v>
      </c>
      <c r="C16" s="55">
        <f>B16*6</f>
        <v>1449597</v>
      </c>
    </row>
    <row r="17" spans="1:3" ht="12">
      <c r="A17" s="37" t="s">
        <v>200</v>
      </c>
      <c r="B17" s="55">
        <f>kjb!N16</f>
        <v>289875</v>
      </c>
      <c r="C17" s="55">
        <f>B17*0.5+138000</f>
        <v>282937.5</v>
      </c>
    </row>
    <row r="18" spans="1:4" ht="12">
      <c r="A18" s="37" t="s">
        <v>1455</v>
      </c>
      <c r="C18" s="55">
        <f>SUM(C16:C17)-40</f>
        <v>1732494.5</v>
      </c>
      <c r="D18" s="55">
        <f>ROUND(C18/1000,0)</f>
        <v>1732</v>
      </c>
    </row>
    <row r="21" ht="12">
      <c r="A21" s="265" t="s">
        <v>1456</v>
      </c>
    </row>
    <row r="22" spans="1:4" ht="12">
      <c r="A22" s="37" t="s">
        <v>1457</v>
      </c>
      <c r="B22" s="55">
        <f>kjb!I16</f>
        <v>24156.25</v>
      </c>
      <c r="C22" s="55">
        <f>B22*6</f>
        <v>144937.5</v>
      </c>
      <c r="D22" s="55">
        <f>ROUND(C22/1000,0)</f>
        <v>145</v>
      </c>
    </row>
    <row r="23" spans="1:4" ht="12">
      <c r="A23" s="37" t="s">
        <v>1458</v>
      </c>
      <c r="B23" s="55">
        <f>kjb!J16</f>
        <v>24156.25</v>
      </c>
      <c r="C23" s="55">
        <f>B23*6</f>
        <v>144937.5</v>
      </c>
      <c r="D23" s="55">
        <f>ROUND(C23/1000,0)</f>
        <v>145</v>
      </c>
    </row>
    <row r="24" spans="1:4" ht="12">
      <c r="A24" s="37" t="s">
        <v>1459</v>
      </c>
      <c r="C24" s="55">
        <f>SUM(C22:C23)</f>
        <v>289875</v>
      </c>
      <c r="D24" s="55">
        <f>SUM(D22:D23)</f>
        <v>290</v>
      </c>
    </row>
    <row r="26" spans="1:4" s="9" customFormat="1" ht="12">
      <c r="A26" s="9" t="s">
        <v>1302</v>
      </c>
      <c r="B26" s="243"/>
      <c r="C26" s="243">
        <f>C18+C24</f>
        <v>2022369.5</v>
      </c>
      <c r="D26" s="243">
        <f>D18+D24</f>
        <v>2022</v>
      </c>
    </row>
    <row r="28" ht="12">
      <c r="A28" s="9" t="s">
        <v>1303</v>
      </c>
    </row>
    <row r="30" ht="12">
      <c r="A30" s="37" t="s">
        <v>1307</v>
      </c>
    </row>
    <row r="32" ht="12">
      <c r="A32" s="37" t="s">
        <v>1308</v>
      </c>
    </row>
    <row r="33" spans="1:2" ht="12">
      <c r="A33" s="37" t="s">
        <v>1460</v>
      </c>
      <c r="B33" s="55">
        <v>38650</v>
      </c>
    </row>
    <row r="34" spans="1:2" ht="12">
      <c r="A34" s="37" t="s">
        <v>1461</v>
      </c>
      <c r="B34" s="55">
        <f>B33*200%</f>
        <v>77300</v>
      </c>
    </row>
    <row r="35" spans="1:2" ht="12">
      <c r="A35" s="37" t="s">
        <v>1462</v>
      </c>
      <c r="B35" s="55">
        <v>1</v>
      </c>
    </row>
    <row r="36" spans="1:4" ht="12">
      <c r="A36" s="37" t="s">
        <v>1308</v>
      </c>
      <c r="C36" s="55">
        <f>B34*B35/2</f>
        <v>38650</v>
      </c>
      <c r="D36" s="55">
        <f>ROUND(C36/1000,0)</f>
        <v>39</v>
      </c>
    </row>
    <row r="38" ht="12">
      <c r="A38" s="37" t="s">
        <v>1311</v>
      </c>
    </row>
    <row r="39" spans="1:2" ht="12">
      <c r="A39" s="37" t="s">
        <v>1312</v>
      </c>
      <c r="B39" s="55">
        <v>1</v>
      </c>
    </row>
    <row r="40" spans="1:2" ht="12">
      <c r="A40" s="37" t="s">
        <v>1463</v>
      </c>
      <c r="B40" s="55">
        <v>12000</v>
      </c>
    </row>
    <row r="41" spans="1:4" ht="12">
      <c r="A41" s="37" t="s">
        <v>1311</v>
      </c>
      <c r="C41" s="55">
        <f>B39*B40*6</f>
        <v>72000</v>
      </c>
      <c r="D41" s="55">
        <f>ROUND(C41/1000,0)</f>
        <v>72</v>
      </c>
    </row>
    <row r="43" spans="1:4" s="9" customFormat="1" ht="12">
      <c r="A43" s="9" t="s">
        <v>1303</v>
      </c>
      <c r="B43" s="243"/>
      <c r="C43" s="243">
        <f>C36+C41</f>
        <v>110650</v>
      </c>
      <c r="D43" s="243">
        <f>D36+D41</f>
        <v>111</v>
      </c>
    </row>
    <row r="46" spans="1:4" s="61" customFormat="1" ht="12">
      <c r="A46" s="61" t="s">
        <v>1314</v>
      </c>
      <c r="B46" s="226"/>
      <c r="C46" s="226">
        <f>C26+C43</f>
        <v>2133019.5</v>
      </c>
      <c r="D46" s="226">
        <f>D26+D43</f>
        <v>2133</v>
      </c>
    </row>
    <row r="48" ht="12">
      <c r="A48" s="61" t="s">
        <v>1315</v>
      </c>
    </row>
    <row r="49" spans="1:3" ht="12">
      <c r="A49" s="37" t="s">
        <v>755</v>
      </c>
      <c r="B49" s="63" t="s">
        <v>1316</v>
      </c>
      <c r="C49" s="63" t="s">
        <v>599</v>
      </c>
    </row>
    <row r="50" spans="1:4" ht="12">
      <c r="A50" s="37" t="s">
        <v>600</v>
      </c>
      <c r="B50" s="55">
        <f>C26</f>
        <v>2022369.5</v>
      </c>
      <c r="C50" s="55">
        <f>B50*24%</f>
        <v>485368.68</v>
      </c>
      <c r="D50" s="55">
        <f>ROUND(C50/1000,0)+1</f>
        <v>486</v>
      </c>
    </row>
    <row r="51" spans="2:3" ht="12">
      <c r="B51" s="63" t="s">
        <v>1316</v>
      </c>
      <c r="C51" s="63" t="s">
        <v>601</v>
      </c>
    </row>
    <row r="52" spans="1:4" ht="12">
      <c r="A52" s="37" t="s">
        <v>602</v>
      </c>
      <c r="B52" s="55">
        <f>C26</f>
        <v>2022369.5</v>
      </c>
      <c r="C52" s="55">
        <f>B52*4.5%</f>
        <v>91006.6275</v>
      </c>
      <c r="D52" s="55">
        <f>ROUND(C52/1000,0)</f>
        <v>91</v>
      </c>
    </row>
    <row r="53" spans="2:3" ht="12">
      <c r="B53" s="63" t="s">
        <v>1316</v>
      </c>
      <c r="C53" s="63" t="s">
        <v>604</v>
      </c>
    </row>
    <row r="54" spans="1:4" ht="12">
      <c r="A54" s="37" t="s">
        <v>603</v>
      </c>
      <c r="B54" s="55">
        <f>C26</f>
        <v>2022369.5</v>
      </c>
      <c r="C54" s="55">
        <f>B54*0.5%</f>
        <v>10111.8475</v>
      </c>
      <c r="D54" s="55">
        <f>ROUND(C54/1000,0)</f>
        <v>10</v>
      </c>
    </row>
    <row r="55" spans="1:4" ht="12">
      <c r="A55" s="37" t="s">
        <v>605</v>
      </c>
      <c r="C55" s="55">
        <f>C50+C52+C54</f>
        <v>586487.155</v>
      </c>
      <c r="D55" s="55">
        <f>D50+D52+D54</f>
        <v>587</v>
      </c>
    </row>
    <row r="57" spans="2:3" ht="12">
      <c r="B57" s="63" t="s">
        <v>1316</v>
      </c>
      <c r="C57" s="63" t="s">
        <v>1317</v>
      </c>
    </row>
    <row r="58" spans="1:4" ht="12">
      <c r="A58" s="37" t="s">
        <v>1318</v>
      </c>
      <c r="B58" s="55">
        <f>C26</f>
        <v>2022369.5</v>
      </c>
      <c r="C58" s="55">
        <f>B58*3%</f>
        <v>60671.085</v>
      </c>
      <c r="D58" s="55">
        <f>ROUND(C58/1000,0)</f>
        <v>61</v>
      </c>
    </row>
    <row r="60" spans="1:4" s="9" customFormat="1" ht="12">
      <c r="A60" s="37" t="s">
        <v>301</v>
      </c>
      <c r="B60" s="55"/>
      <c r="C60" s="55"/>
      <c r="D60" s="55"/>
    </row>
    <row r="61" spans="1:2" ht="12">
      <c r="A61" s="37" t="s">
        <v>302</v>
      </c>
      <c r="B61" s="55">
        <v>1</v>
      </c>
    </row>
    <row r="62" spans="1:3" ht="12">
      <c r="A62" s="37" t="s">
        <v>706</v>
      </c>
      <c r="B62" s="55">
        <v>1950</v>
      </c>
      <c r="C62" s="55">
        <f>B61*B62*12</f>
        <v>23400</v>
      </c>
    </row>
    <row r="63" spans="1:4" ht="12">
      <c r="A63" s="37" t="s">
        <v>301</v>
      </c>
      <c r="C63" s="55">
        <f>C62</f>
        <v>23400</v>
      </c>
      <c r="D63" s="55">
        <f>ROUND(C63/1000,0)</f>
        <v>23</v>
      </c>
    </row>
    <row r="65" spans="1:4" ht="12">
      <c r="A65" s="61" t="s">
        <v>754</v>
      </c>
      <c r="B65" s="226"/>
      <c r="C65" s="226">
        <f>C55+C58+C63</f>
        <v>670558.24</v>
      </c>
      <c r="D65" s="226">
        <f>D55+D58+D63</f>
        <v>671</v>
      </c>
    </row>
    <row r="67" ht="12">
      <c r="A67" s="61"/>
    </row>
    <row r="68" ht="12">
      <c r="A68" s="9"/>
    </row>
    <row r="72" spans="2:3" ht="12">
      <c r="B72" s="63"/>
      <c r="C72" s="14"/>
    </row>
    <row r="77" spans="1:4" s="61" customFormat="1" ht="12">
      <c r="A77" s="61" t="s">
        <v>756</v>
      </c>
      <c r="B77" s="226"/>
      <c r="C77" s="226">
        <f>C70+C75</f>
        <v>0</v>
      </c>
      <c r="D77" s="226">
        <f>D70+D75</f>
        <v>0</v>
      </c>
    </row>
    <row r="79" spans="1:4" ht="12">
      <c r="A79" s="61" t="s">
        <v>489</v>
      </c>
      <c r="B79" s="226"/>
      <c r="C79" s="226">
        <f>C46+C65+C77</f>
        <v>2803577.74</v>
      </c>
      <c r="D79" s="226">
        <f>D46+D65+D77</f>
        <v>2804</v>
      </c>
    </row>
    <row r="81" ht="12">
      <c r="A81" s="61" t="s">
        <v>1482</v>
      </c>
    </row>
    <row r="82" spans="1:3" ht="12">
      <c r="A82" s="37" t="s">
        <v>1464</v>
      </c>
      <c r="C82" s="55">
        <f>C79</f>
        <v>2803577.74</v>
      </c>
    </row>
    <row r="84" spans="1:3" ht="12">
      <c r="A84" s="37" t="s">
        <v>567</v>
      </c>
      <c r="B84" s="63" t="s">
        <v>1465</v>
      </c>
      <c r="C84" s="63" t="s">
        <v>1466</v>
      </c>
    </row>
    <row r="85" spans="1:3" ht="12">
      <c r="A85" s="37" t="s">
        <v>1485</v>
      </c>
      <c r="B85" s="55">
        <v>832</v>
      </c>
      <c r="C85" s="234">
        <f>B85/B87</f>
        <v>0.6640063846767758</v>
      </c>
    </row>
    <row r="86" spans="1:3" ht="12">
      <c r="A86" s="37" t="s">
        <v>1467</v>
      </c>
      <c r="B86" s="55">
        <v>421</v>
      </c>
      <c r="C86" s="234">
        <f>B86/B87</f>
        <v>0.33599361532322425</v>
      </c>
    </row>
    <row r="87" spans="1:3" ht="12">
      <c r="A87" s="37" t="s">
        <v>1486</v>
      </c>
      <c r="B87" s="55">
        <f>SUM(B85:B86)</f>
        <v>1253</v>
      </c>
      <c r="C87" s="234">
        <f>SUM(C85:C86)</f>
        <v>1</v>
      </c>
    </row>
    <row r="89" spans="1:3" ht="12">
      <c r="A89" s="37" t="s">
        <v>1468</v>
      </c>
      <c r="B89" s="13" t="s">
        <v>568</v>
      </c>
      <c r="C89" s="63" t="s">
        <v>1467</v>
      </c>
    </row>
    <row r="90" spans="1:3" ht="12">
      <c r="A90" s="37" t="s">
        <v>569</v>
      </c>
      <c r="B90" s="55">
        <f>(C82-C77)*C85</f>
        <v>1861593.5192976857</v>
      </c>
      <c r="C90" s="55">
        <f>(C82-C77)*C86</f>
        <v>941984.2207023145</v>
      </c>
    </row>
    <row r="91" spans="1:3" ht="12">
      <c r="A91" s="37" t="s">
        <v>374</v>
      </c>
      <c r="B91" s="55">
        <f>C77/2</f>
        <v>0</v>
      </c>
      <c r="C91" s="55">
        <v>1934000</v>
      </c>
    </row>
    <row r="92" spans="1:3" ht="12">
      <c r="A92" s="37" t="s">
        <v>1486</v>
      </c>
      <c r="B92" s="55">
        <f>SUM(B90:B91)</f>
        <v>1861593.5192976857</v>
      </c>
      <c r="C92" s="55">
        <f>SUM(C90:C91)</f>
        <v>2875984.2207023147</v>
      </c>
    </row>
    <row r="94" spans="1:4" ht="12">
      <c r="A94" s="37" t="s">
        <v>1469</v>
      </c>
      <c r="B94" s="55">
        <f>ROUND(B92/1000,0)</f>
        <v>1862</v>
      </c>
      <c r="C94" s="55">
        <f>ROUND(C92/1000,0)</f>
        <v>2876</v>
      </c>
      <c r="D94" s="55">
        <f>SUM(B94:C94)</f>
        <v>4738</v>
      </c>
    </row>
  </sheetData>
  <sheetProtection/>
  <mergeCells count="2">
    <mergeCell ref="A4:D4"/>
    <mergeCell ref="A6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 dőlt"TISZAGYULAHÁZA 2008.ÉVI KÖLTSÉGVETÉSE&amp;R&amp;"Arial CE,Dőlt"&amp;8megszünt körjegyzőség miatt&amp;"Arial CE,Normál"&amp;10
</oddHeader>
    <oddFooter>&amp;C&amp;"Arial,Dőlt"&amp;8&amp;P. oldal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E26" sqref="E26"/>
    </sheetView>
  </sheetViews>
  <sheetFormatPr defaultColWidth="9.00390625" defaultRowHeight="12.75"/>
  <cols>
    <col min="1" max="1" width="8.625" style="37" customWidth="1"/>
    <col min="2" max="2" width="49.00390625" style="37" customWidth="1"/>
    <col min="3" max="3" width="14.375" style="55" customWidth="1"/>
    <col min="4" max="4" width="14.125" style="55" customWidth="1"/>
    <col min="5" max="16384" width="9.125" style="37" customWidth="1"/>
  </cols>
  <sheetData>
    <row r="1" spans="1:4" ht="12">
      <c r="A1" s="413" t="s">
        <v>555</v>
      </c>
      <c r="B1" s="415"/>
      <c r="C1" s="404" t="s">
        <v>1482</v>
      </c>
      <c r="D1" s="404" t="s">
        <v>556</v>
      </c>
    </row>
    <row r="2" spans="1:4" ht="12">
      <c r="A2" s="416"/>
      <c r="B2" s="418"/>
      <c r="C2" s="539"/>
      <c r="D2" s="539"/>
    </row>
    <row r="3" spans="1:4" ht="12" customHeight="1">
      <c r="A3" s="356" t="s">
        <v>548</v>
      </c>
      <c r="B3" s="522" t="s">
        <v>321</v>
      </c>
      <c r="C3" s="410" t="s">
        <v>941</v>
      </c>
      <c r="D3" s="410" t="s">
        <v>941</v>
      </c>
    </row>
    <row r="4" spans="1:4" ht="12">
      <c r="A4" s="353"/>
      <c r="B4" s="522"/>
      <c r="C4" s="411"/>
      <c r="D4" s="411"/>
    </row>
    <row r="5" spans="1:4" ht="12.75" thickBot="1">
      <c r="A5" s="540"/>
      <c r="B5" s="541"/>
      <c r="C5" s="412"/>
      <c r="D5" s="412"/>
    </row>
    <row r="6" spans="1:4" ht="12.75" thickTop="1">
      <c r="A6" s="41"/>
      <c r="B6" s="42"/>
      <c r="C6" s="5"/>
      <c r="D6" s="44"/>
    </row>
    <row r="7" spans="1:4" ht="12">
      <c r="A7" s="41"/>
      <c r="B7" s="42"/>
      <c r="C7" s="5"/>
      <c r="D7" s="44"/>
    </row>
    <row r="8" spans="1:4" ht="12">
      <c r="A8" s="366" t="s">
        <v>557</v>
      </c>
      <c r="B8" s="534"/>
      <c r="C8" s="534"/>
      <c r="D8" s="535"/>
    </row>
    <row r="9" spans="1:4" ht="12">
      <c r="A9" s="536"/>
      <c r="B9" s="537"/>
      <c r="C9" s="537"/>
      <c r="D9" s="538"/>
    </row>
    <row r="10" spans="1:4" ht="12">
      <c r="A10" s="159"/>
      <c r="B10" s="159"/>
      <c r="C10" s="160"/>
      <c r="D10" s="44"/>
    </row>
    <row r="11" spans="1:4" ht="12">
      <c r="A11" s="41" t="s">
        <v>558</v>
      </c>
      <c r="B11" s="41" t="s">
        <v>709</v>
      </c>
      <c r="C11" s="5">
        <f>beö!$V$90</f>
        <v>759</v>
      </c>
      <c r="D11" s="44">
        <f>kiö!$AB$163</f>
        <v>2744.142758639694</v>
      </c>
    </row>
    <row r="12" spans="1:4" ht="12">
      <c r="A12" s="41" t="s">
        <v>710</v>
      </c>
      <c r="B12" s="41" t="s">
        <v>711</v>
      </c>
      <c r="C12" s="5">
        <f>beö!$W$90</f>
        <v>2862</v>
      </c>
      <c r="D12" s="44">
        <f>kiö!$AC$163</f>
        <v>8405.135348015632</v>
      </c>
    </row>
    <row r="13" spans="1:4" ht="12">
      <c r="A13" s="41" t="s">
        <v>712</v>
      </c>
      <c r="B13" s="41" t="s">
        <v>713</v>
      </c>
      <c r="C13" s="5">
        <f>beö!$X$90</f>
        <v>4173</v>
      </c>
      <c r="D13" s="44">
        <v>6103</v>
      </c>
    </row>
    <row r="14" spans="1:4" ht="12">
      <c r="A14" s="41" t="s">
        <v>714</v>
      </c>
      <c r="B14" s="41" t="s">
        <v>715</v>
      </c>
      <c r="C14" s="5">
        <f>beö!$I$90</f>
        <v>0</v>
      </c>
      <c r="D14" s="44">
        <f>kiö!$I$163</f>
        <v>0</v>
      </c>
    </row>
    <row r="15" spans="1:4" ht="12">
      <c r="A15" s="41" t="s">
        <v>716</v>
      </c>
      <c r="B15" s="41" t="s">
        <v>717</v>
      </c>
      <c r="C15" s="5">
        <f>beö!$B$90+beö!D93</f>
        <v>8483</v>
      </c>
      <c r="D15" s="44">
        <f>kiö!$B$163+kiö!D163</f>
        <v>61619</v>
      </c>
    </row>
    <row r="16" spans="1:4" ht="12">
      <c r="A16" s="41" t="s">
        <v>718</v>
      </c>
      <c r="B16" s="41" t="s">
        <v>719</v>
      </c>
      <c r="C16" s="5">
        <f>beö!$O$90</f>
        <v>255</v>
      </c>
      <c r="D16" s="44">
        <f>kiö!$P$163</f>
        <v>3936</v>
      </c>
    </row>
    <row r="17" spans="1:4" ht="12">
      <c r="A17" s="41" t="s">
        <v>720</v>
      </c>
      <c r="B17" s="41" t="s">
        <v>721</v>
      </c>
      <c r="C17" s="5">
        <f>beö!$J$90</f>
        <v>270</v>
      </c>
      <c r="D17" s="44">
        <f>kiö!$J$163</f>
        <v>1676</v>
      </c>
    </row>
    <row r="18" spans="1:4" ht="12">
      <c r="A18" s="41" t="s">
        <v>722</v>
      </c>
      <c r="B18" s="41" t="s">
        <v>723</v>
      </c>
      <c r="C18" s="5">
        <f>beö!$K$90</f>
        <v>5</v>
      </c>
      <c r="D18" s="44">
        <f>kiö!$K$163</f>
        <v>90</v>
      </c>
    </row>
    <row r="19" spans="1:4" ht="12">
      <c r="A19" s="41" t="s">
        <v>724</v>
      </c>
      <c r="B19" s="41" t="s">
        <v>725</v>
      </c>
      <c r="C19" s="5">
        <f>beö!$L$90</f>
        <v>0</v>
      </c>
      <c r="D19" s="44">
        <f>kiö!$L$163</f>
        <v>1990</v>
      </c>
    </row>
    <row r="20" spans="1:4" ht="12">
      <c r="A20" s="41" t="s">
        <v>726</v>
      </c>
      <c r="B20" s="41" t="s">
        <v>727</v>
      </c>
      <c r="C20" s="5">
        <f>beö!$Z$90</f>
        <v>0</v>
      </c>
      <c r="D20" s="44">
        <f>kiö!$AG$163</f>
        <v>0</v>
      </c>
    </row>
    <row r="21" spans="1:4" ht="12">
      <c r="A21" s="41" t="s">
        <v>728</v>
      </c>
      <c r="B21" s="41" t="s">
        <v>729</v>
      </c>
      <c r="C21" s="5">
        <v>87831</v>
      </c>
      <c r="D21" s="44">
        <v>0</v>
      </c>
    </row>
    <row r="22" spans="1:4" ht="12">
      <c r="A22" s="41" t="s">
        <v>1</v>
      </c>
      <c r="B22" s="41" t="s">
        <v>744</v>
      </c>
      <c r="C22" s="5">
        <v>19763</v>
      </c>
      <c r="D22" s="44"/>
    </row>
    <row r="23" spans="1:4" ht="12">
      <c r="A23" s="41" t="s">
        <v>730</v>
      </c>
      <c r="B23" s="41" t="s">
        <v>731</v>
      </c>
      <c r="C23" s="5">
        <f>beö!$F$90</f>
        <v>0</v>
      </c>
      <c r="D23" s="44">
        <f>kiö!$G$163</f>
        <v>1136</v>
      </c>
    </row>
    <row r="24" spans="1:4" ht="12">
      <c r="A24" s="41" t="s">
        <v>732</v>
      </c>
      <c r="B24" s="88" t="s">
        <v>942</v>
      </c>
      <c r="C24" s="5"/>
      <c r="D24" s="44">
        <f>kiö!F163</f>
        <v>6307</v>
      </c>
    </row>
    <row r="25" spans="1:4" ht="12">
      <c r="A25" s="41" t="s">
        <v>733</v>
      </c>
      <c r="B25" s="41" t="s">
        <v>358</v>
      </c>
      <c r="C25" s="5">
        <f>beö!$P$90</f>
        <v>0</v>
      </c>
      <c r="D25" s="44">
        <f>kiö!$Q$163</f>
        <v>2577</v>
      </c>
    </row>
    <row r="26" spans="1:4" ht="12">
      <c r="A26" s="41" t="s">
        <v>735</v>
      </c>
      <c r="B26" s="41" t="s">
        <v>736</v>
      </c>
      <c r="C26" s="5">
        <f>beö!$Q$90</f>
        <v>3490</v>
      </c>
      <c r="D26" s="44">
        <f>kiö!$R$163</f>
        <v>2554</v>
      </c>
    </row>
    <row r="27" spans="1:4" ht="12">
      <c r="A27" s="41" t="s">
        <v>356</v>
      </c>
      <c r="B27" s="41" t="s">
        <v>734</v>
      </c>
      <c r="C27" s="5"/>
      <c r="D27" s="44">
        <v>295</v>
      </c>
    </row>
    <row r="28" spans="1:4" ht="12">
      <c r="A28" s="41" t="s">
        <v>1160</v>
      </c>
      <c r="B28" s="41" t="s">
        <v>359</v>
      </c>
      <c r="C28" s="5">
        <f>beö!$R$90</f>
        <v>0</v>
      </c>
      <c r="D28" s="44">
        <f>kiö!$S$163</f>
        <v>1543</v>
      </c>
    </row>
    <row r="29" spans="1:4" ht="12">
      <c r="A29" s="41" t="s">
        <v>355</v>
      </c>
      <c r="B29" s="41" t="s">
        <v>360</v>
      </c>
      <c r="C29" s="5"/>
      <c r="D29" s="44">
        <v>1345</v>
      </c>
    </row>
    <row r="30" spans="1:4" ht="12">
      <c r="A30" s="41" t="s">
        <v>24</v>
      </c>
      <c r="B30" s="41" t="s">
        <v>738</v>
      </c>
      <c r="C30" s="5">
        <f>beö!$S$90</f>
        <v>0</v>
      </c>
      <c r="D30" s="44">
        <f>kiö!$T$163</f>
        <v>6536</v>
      </c>
    </row>
    <row r="31" spans="1:4" ht="12">
      <c r="A31" s="41" t="s">
        <v>357</v>
      </c>
      <c r="B31" s="41" t="s">
        <v>361</v>
      </c>
      <c r="C31" s="5"/>
      <c r="D31" s="44">
        <v>660</v>
      </c>
    </row>
    <row r="32" spans="1:4" ht="12">
      <c r="A32" s="41" t="s">
        <v>28</v>
      </c>
      <c r="B32" s="41" t="s">
        <v>943</v>
      </c>
      <c r="C32" s="5"/>
      <c r="D32" s="44">
        <f>kiö!U163</f>
        <v>12593</v>
      </c>
    </row>
    <row r="33" spans="1:4" ht="12">
      <c r="A33" s="41" t="s">
        <v>934</v>
      </c>
      <c r="B33" s="41" t="s">
        <v>944</v>
      </c>
      <c r="C33" s="5">
        <f>beö!T93</f>
        <v>171</v>
      </c>
      <c r="D33" s="44">
        <f>kiö!V163</f>
        <v>293</v>
      </c>
    </row>
    <row r="34" spans="1:4" ht="12">
      <c r="A34" s="41" t="s">
        <v>130</v>
      </c>
      <c r="B34" s="41" t="s">
        <v>741</v>
      </c>
      <c r="C34" s="5">
        <f>beö!$M$90</f>
        <v>0</v>
      </c>
      <c r="D34" s="44">
        <f>kiö!$M163</f>
        <v>2000</v>
      </c>
    </row>
    <row r="35" spans="1:4" ht="12">
      <c r="A35" s="41" t="s">
        <v>291</v>
      </c>
      <c r="B35" s="41" t="s">
        <v>746</v>
      </c>
      <c r="C35" s="5"/>
      <c r="D35" s="44">
        <f>kiö!$N163</f>
        <v>151</v>
      </c>
    </row>
    <row r="36" spans="1:4" ht="12">
      <c r="A36" s="41" t="s">
        <v>739</v>
      </c>
      <c r="B36" s="41" t="s">
        <v>740</v>
      </c>
      <c r="C36" s="5">
        <f>beö!$AB$90</f>
        <v>0</v>
      </c>
      <c r="D36" s="44">
        <f>kiö!$AH163</f>
        <v>3508</v>
      </c>
    </row>
    <row r="37" spans="1:4" ht="12">
      <c r="A37" s="41"/>
      <c r="B37" s="41" t="s">
        <v>242</v>
      </c>
      <c r="C37" s="5">
        <f>SUM(C11:C36)</f>
        <v>128062</v>
      </c>
      <c r="D37" s="44">
        <f>SUM(D11:D36)+1</f>
        <v>128062.27810665533</v>
      </c>
    </row>
    <row r="38" spans="1:4" s="61" customFormat="1" ht="12">
      <c r="A38" s="56"/>
      <c r="B38" s="56" t="s">
        <v>1413</v>
      </c>
      <c r="C38" s="58">
        <f>C37</f>
        <v>128062</v>
      </c>
      <c r="D38" s="59">
        <f>D37</f>
        <v>128062.27810665533</v>
      </c>
    </row>
    <row r="39" spans="1:4" ht="12">
      <c r="A39" s="41"/>
      <c r="B39" s="41"/>
      <c r="C39" s="5"/>
      <c r="D39" s="44"/>
    </row>
    <row r="40" spans="1:4" ht="12">
      <c r="A40" s="366" t="s">
        <v>742</v>
      </c>
      <c r="B40" s="534"/>
      <c r="C40" s="534"/>
      <c r="D40" s="535"/>
    </row>
    <row r="41" spans="1:4" ht="12">
      <c r="A41" s="536"/>
      <c r="B41" s="537"/>
      <c r="C41" s="537"/>
      <c r="D41" s="538"/>
    </row>
    <row r="42" spans="1:4" ht="12">
      <c r="A42" s="41"/>
      <c r="B42" s="41"/>
      <c r="C42" s="5"/>
      <c r="D42" s="44"/>
    </row>
    <row r="43" spans="1:4" ht="12">
      <c r="A43" s="41" t="s">
        <v>716</v>
      </c>
      <c r="B43" s="41" t="s">
        <v>434</v>
      </c>
      <c r="C43" s="5"/>
      <c r="D43" s="44">
        <v>600</v>
      </c>
    </row>
    <row r="44" spans="1:4" ht="12">
      <c r="A44" s="41" t="s">
        <v>1057</v>
      </c>
      <c r="B44" s="41" t="s">
        <v>167</v>
      </c>
      <c r="C44" s="5"/>
      <c r="D44" s="44">
        <v>200</v>
      </c>
    </row>
    <row r="45" spans="1:4" ht="12">
      <c r="A45" s="49"/>
      <c r="B45" s="49"/>
      <c r="C45" s="51"/>
      <c r="D45" s="53"/>
    </row>
  </sheetData>
  <sheetProtection/>
  <mergeCells count="9">
    <mergeCell ref="D3:D5"/>
    <mergeCell ref="A8:D9"/>
    <mergeCell ref="A40:D41"/>
    <mergeCell ref="C1:C2"/>
    <mergeCell ref="D1:D2"/>
    <mergeCell ref="A3:A5"/>
    <mergeCell ref="B3:B5"/>
    <mergeCell ref="C3:C5"/>
    <mergeCell ref="A1:B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dőlt"&amp;12Tiszagyulaháza 2008.évi költségvetési 
bevételei és kiadásai szakfeladatonként&amp;R&amp;"Arial,Dőlt"&amp;8 8.számú melléklet
adatok ezer forintban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4">
      <selection activeCell="G42" sqref="G42"/>
    </sheetView>
  </sheetViews>
  <sheetFormatPr defaultColWidth="9.00390625" defaultRowHeight="12.75"/>
  <cols>
    <col min="1" max="1" width="5.25390625" style="37" customWidth="1"/>
    <col min="2" max="2" width="42.75390625" style="37" customWidth="1"/>
    <col min="3" max="3" width="12.25390625" style="37" customWidth="1"/>
    <col min="4" max="4" width="12.875" style="55" bestFit="1" customWidth="1"/>
    <col min="5" max="5" width="13.00390625" style="55" bestFit="1" customWidth="1"/>
    <col min="6" max="16384" width="9.125" style="37" customWidth="1"/>
  </cols>
  <sheetData>
    <row r="1" spans="1:6" ht="12">
      <c r="A1" s="545" t="s">
        <v>1501</v>
      </c>
      <c r="B1" s="356" t="s">
        <v>1502</v>
      </c>
      <c r="C1" s="356">
        <v>2008</v>
      </c>
      <c r="D1" s="356">
        <v>2009</v>
      </c>
      <c r="E1" s="356">
        <v>2010</v>
      </c>
      <c r="F1" s="87"/>
    </row>
    <row r="2" spans="1:6" ht="12">
      <c r="A2" s="546"/>
      <c r="B2" s="353"/>
      <c r="C2" s="353"/>
      <c r="D2" s="353"/>
      <c r="E2" s="353"/>
      <c r="F2" s="87"/>
    </row>
    <row r="3" spans="1:6" ht="21.75" customHeight="1" thickBot="1">
      <c r="A3" s="547"/>
      <c r="B3" s="352"/>
      <c r="C3" s="352"/>
      <c r="D3" s="352"/>
      <c r="E3" s="352"/>
      <c r="F3" s="87"/>
    </row>
    <row r="4" spans="1:6" ht="12.75" thickTop="1">
      <c r="A4" s="41"/>
      <c r="B4" s="41"/>
      <c r="C4" s="41"/>
      <c r="D4" s="5"/>
      <c r="E4" s="44"/>
      <c r="F4" s="87"/>
    </row>
    <row r="5" spans="1:6" ht="12.75" thickBot="1">
      <c r="A5" s="542" t="s">
        <v>1503</v>
      </c>
      <c r="B5" s="543"/>
      <c r="C5" s="543"/>
      <c r="D5" s="543"/>
      <c r="E5" s="544"/>
      <c r="F5" s="87"/>
    </row>
    <row r="6" spans="1:6" ht="12">
      <c r="A6" s="43"/>
      <c r="B6" s="41"/>
      <c r="C6" s="41"/>
      <c r="D6" s="5"/>
      <c r="E6" s="44"/>
      <c r="F6" s="87"/>
    </row>
    <row r="7" spans="1:6" ht="12">
      <c r="A7" s="43"/>
      <c r="B7" s="41"/>
      <c r="C7" s="5"/>
      <c r="D7" s="5"/>
      <c r="E7" s="44"/>
      <c r="F7" s="87"/>
    </row>
    <row r="8" spans="1:5" ht="12">
      <c r="A8" s="43" t="s">
        <v>743</v>
      </c>
      <c r="B8" s="41" t="s">
        <v>1504</v>
      </c>
      <c r="C8" s="5">
        <v>8252</v>
      </c>
      <c r="D8" s="5">
        <v>6117</v>
      </c>
      <c r="E8" s="44">
        <f>D8*103%</f>
        <v>6300.51</v>
      </c>
    </row>
    <row r="9" spans="1:5" ht="12">
      <c r="A9" s="43" t="s">
        <v>1505</v>
      </c>
      <c r="B9" s="41" t="s">
        <v>1506</v>
      </c>
      <c r="C9" s="5">
        <f>(3881+4)-2042</f>
        <v>1843</v>
      </c>
      <c r="D9" s="5">
        <v>358</v>
      </c>
      <c r="E9" s="44">
        <f>D9*103%</f>
        <v>368.74</v>
      </c>
    </row>
    <row r="10" spans="1:5" ht="12">
      <c r="A10" s="43" t="s">
        <v>1507</v>
      </c>
      <c r="B10" s="41" t="s">
        <v>1036</v>
      </c>
      <c r="C10" s="5">
        <f>52089-2028</f>
        <v>50061</v>
      </c>
      <c r="D10" s="5">
        <v>49871</v>
      </c>
      <c r="E10" s="44">
        <f>D10*103%</f>
        <v>51367.130000000005</v>
      </c>
    </row>
    <row r="11" spans="1:5" ht="12">
      <c r="A11" s="43" t="s">
        <v>1508</v>
      </c>
      <c r="B11" s="41" t="s">
        <v>415</v>
      </c>
      <c r="C11" s="5">
        <v>31197</v>
      </c>
      <c r="D11" s="5">
        <v>31987</v>
      </c>
      <c r="E11" s="44">
        <f>D11*103%</f>
        <v>32946.61</v>
      </c>
    </row>
    <row r="12" spans="1:5" ht="12">
      <c r="A12" s="43" t="s">
        <v>1509</v>
      </c>
      <c r="B12" s="41" t="s">
        <v>520</v>
      </c>
      <c r="C12" s="5">
        <v>12876</v>
      </c>
      <c r="D12" s="5">
        <v>12436</v>
      </c>
      <c r="E12" s="44">
        <f>D12*103%</f>
        <v>12809.08</v>
      </c>
    </row>
    <row r="13" spans="1:5" ht="12">
      <c r="A13" s="43" t="s">
        <v>521</v>
      </c>
      <c r="B13" s="41" t="s">
        <v>522</v>
      </c>
      <c r="C13" s="5">
        <v>19763</v>
      </c>
      <c r="D13" s="5">
        <v>28081</v>
      </c>
      <c r="E13" s="44">
        <v>27315</v>
      </c>
    </row>
    <row r="14" spans="1:5" ht="12">
      <c r="A14" s="43" t="s">
        <v>523</v>
      </c>
      <c r="B14" s="41" t="s">
        <v>524</v>
      </c>
      <c r="C14" s="5"/>
      <c r="D14" s="5">
        <f>C14*104%</f>
        <v>0</v>
      </c>
      <c r="E14" s="44"/>
    </row>
    <row r="15" spans="1:5" ht="12">
      <c r="A15" s="60" t="s">
        <v>525</v>
      </c>
      <c r="B15" s="56" t="s">
        <v>526</v>
      </c>
      <c r="C15" s="58">
        <f>SUM(C8:C14)</f>
        <v>123992</v>
      </c>
      <c r="D15" s="58">
        <f>SUM(D8:D14)+1</f>
        <v>128851</v>
      </c>
      <c r="E15" s="59">
        <f>SUM(E8:E14)+1</f>
        <v>131108.07</v>
      </c>
    </row>
    <row r="16" spans="1:5" ht="12">
      <c r="A16" s="43"/>
      <c r="B16" s="41"/>
      <c r="C16" s="5"/>
      <c r="D16" s="5"/>
      <c r="E16" s="44"/>
    </row>
    <row r="17" spans="1:5" ht="12">
      <c r="A17" s="43" t="s">
        <v>323</v>
      </c>
      <c r="B17" s="41" t="s">
        <v>257</v>
      </c>
      <c r="C17" s="5">
        <v>25645</v>
      </c>
      <c r="D17" s="5">
        <v>26316</v>
      </c>
      <c r="E17" s="5">
        <f>D17*104%</f>
        <v>27368.64</v>
      </c>
    </row>
    <row r="18" spans="1:5" ht="12">
      <c r="A18" s="43" t="s">
        <v>326</v>
      </c>
      <c r="B18" s="41" t="s">
        <v>1315</v>
      </c>
      <c r="C18" s="5">
        <v>8086</v>
      </c>
      <c r="D18" s="5">
        <v>8294</v>
      </c>
      <c r="E18" s="5">
        <f aca="true" t="shared" si="0" ref="E18:E24">D18*104%</f>
        <v>8625.76</v>
      </c>
    </row>
    <row r="19" spans="1:5" ht="12">
      <c r="A19" s="43" t="s">
        <v>328</v>
      </c>
      <c r="B19" s="41" t="s">
        <v>1480</v>
      </c>
      <c r="C19" s="5">
        <v>27395</v>
      </c>
      <c r="D19" s="5">
        <v>23336</v>
      </c>
      <c r="E19" s="5">
        <f t="shared" si="0"/>
        <v>24269.440000000002</v>
      </c>
    </row>
    <row r="20" spans="1:5" ht="12">
      <c r="A20" s="43" t="s">
        <v>329</v>
      </c>
      <c r="B20" s="41" t="s">
        <v>527</v>
      </c>
      <c r="C20" s="5">
        <v>9246</v>
      </c>
      <c r="D20" s="5">
        <v>6540</v>
      </c>
      <c r="E20" s="5">
        <f t="shared" si="0"/>
        <v>6801.6</v>
      </c>
    </row>
    <row r="21" spans="1:5" ht="12">
      <c r="A21" s="43" t="s">
        <v>331</v>
      </c>
      <c r="B21" s="41" t="s">
        <v>528</v>
      </c>
      <c r="C21" s="5">
        <v>27975</v>
      </c>
      <c r="D21" s="5">
        <v>32748</v>
      </c>
      <c r="E21" s="5">
        <f>36164-1515</f>
        <v>34649</v>
      </c>
    </row>
    <row r="22" spans="1:5" ht="12">
      <c r="A22" s="43" t="s">
        <v>335</v>
      </c>
      <c r="B22" s="41" t="s">
        <v>1351</v>
      </c>
      <c r="C22" s="5">
        <v>21427</v>
      </c>
      <c r="D22" s="5">
        <v>23956</v>
      </c>
      <c r="E22" s="5">
        <v>24914</v>
      </c>
    </row>
    <row r="23" spans="1:5" ht="12">
      <c r="A23" s="43" t="s">
        <v>529</v>
      </c>
      <c r="B23" s="41" t="s">
        <v>552</v>
      </c>
      <c r="C23" s="5">
        <v>4000</v>
      </c>
      <c r="D23" s="5">
        <v>7000</v>
      </c>
      <c r="E23" s="5">
        <f t="shared" si="0"/>
        <v>7280</v>
      </c>
    </row>
    <row r="24" spans="1:5" ht="12">
      <c r="A24" s="43" t="s">
        <v>1386</v>
      </c>
      <c r="B24" s="41" t="s">
        <v>1387</v>
      </c>
      <c r="C24" s="5">
        <v>600</v>
      </c>
      <c r="D24" s="5"/>
      <c r="E24" s="5">
        <f t="shared" si="0"/>
        <v>0</v>
      </c>
    </row>
    <row r="25" spans="1:5" ht="12">
      <c r="A25" s="60" t="s">
        <v>1388</v>
      </c>
      <c r="B25" s="56" t="s">
        <v>1389</v>
      </c>
      <c r="C25" s="58">
        <f>SUM(C17:C24)</f>
        <v>124374</v>
      </c>
      <c r="D25" s="58">
        <f>SUM(D17:D24)</f>
        <v>128190</v>
      </c>
      <c r="E25" s="59">
        <f>SUM(E17:E24)</f>
        <v>133908.44</v>
      </c>
    </row>
    <row r="26" spans="1:5" ht="12">
      <c r="A26" s="41"/>
      <c r="B26" s="41"/>
      <c r="C26" s="5"/>
      <c r="D26" s="5"/>
      <c r="E26" s="44"/>
    </row>
    <row r="27" spans="1:5" ht="12">
      <c r="A27" s="41"/>
      <c r="B27" s="41"/>
      <c r="C27" s="5"/>
      <c r="D27" s="5"/>
      <c r="E27" s="44"/>
    </row>
    <row r="28" spans="1:5" ht="12.75" thickBot="1">
      <c r="A28" s="542" t="s">
        <v>1390</v>
      </c>
      <c r="B28" s="543"/>
      <c r="C28" s="543"/>
      <c r="D28" s="543"/>
      <c r="E28" s="544"/>
    </row>
    <row r="29" spans="1:5" ht="12">
      <c r="A29" s="43"/>
      <c r="B29" s="41"/>
      <c r="C29" s="5"/>
      <c r="D29" s="5"/>
      <c r="E29" s="44"/>
    </row>
    <row r="30" spans="1:5" ht="12">
      <c r="A30" s="43"/>
      <c r="B30" s="41"/>
      <c r="C30" s="5"/>
      <c r="D30" s="5"/>
      <c r="E30" s="44"/>
    </row>
    <row r="31" spans="1:5" ht="12">
      <c r="A31" s="43" t="s">
        <v>337</v>
      </c>
      <c r="B31" s="41" t="s">
        <v>1197</v>
      </c>
      <c r="C31" s="5">
        <v>0</v>
      </c>
      <c r="D31" s="5">
        <f>C31*104%</f>
        <v>0</v>
      </c>
      <c r="E31" s="44">
        <f>D31*103%</f>
        <v>0</v>
      </c>
    </row>
    <row r="32" spans="1:5" ht="12">
      <c r="A32" s="43" t="s">
        <v>1391</v>
      </c>
      <c r="B32" s="41" t="s">
        <v>1392</v>
      </c>
      <c r="C32" s="5">
        <v>2042</v>
      </c>
      <c r="D32" s="5">
        <f>C32*104%</f>
        <v>2123.6800000000003</v>
      </c>
      <c r="E32" s="44">
        <f>D32*103%</f>
        <v>2187.3904</v>
      </c>
    </row>
    <row r="33" spans="1:5" ht="12">
      <c r="A33" s="43" t="s">
        <v>1393</v>
      </c>
      <c r="B33" s="41" t="s">
        <v>1394</v>
      </c>
      <c r="C33" s="5"/>
      <c r="D33" s="5">
        <f>C33*104%</f>
        <v>0</v>
      </c>
      <c r="E33" s="44">
        <f>D33*103%</f>
        <v>0</v>
      </c>
    </row>
    <row r="34" spans="1:5" ht="12">
      <c r="A34" s="43" t="s">
        <v>1395</v>
      </c>
      <c r="B34" s="41" t="s">
        <v>1405</v>
      </c>
      <c r="C34" s="5"/>
      <c r="D34" s="5"/>
      <c r="E34" s="44">
        <f>D34*103%</f>
        <v>0</v>
      </c>
    </row>
    <row r="35" spans="1:5" ht="12">
      <c r="A35" s="43" t="s">
        <v>403</v>
      </c>
      <c r="B35" s="41" t="s">
        <v>404</v>
      </c>
      <c r="C35" s="5"/>
      <c r="D35" s="5"/>
      <c r="E35" s="44"/>
    </row>
    <row r="36" spans="1:5" ht="12">
      <c r="A36" s="43">
        <v>25</v>
      </c>
      <c r="B36" s="41" t="s">
        <v>415</v>
      </c>
      <c r="C36" s="5">
        <v>2028</v>
      </c>
      <c r="D36" s="5">
        <f>C36*104%</f>
        <v>2109.12</v>
      </c>
      <c r="E36" s="44">
        <f>D36*103%</f>
        <v>2172.3936</v>
      </c>
    </row>
    <row r="37" spans="1:5" ht="12">
      <c r="A37" s="43">
        <v>26</v>
      </c>
      <c r="B37" s="41" t="s">
        <v>524</v>
      </c>
      <c r="C37" s="5"/>
      <c r="D37" s="5"/>
      <c r="E37" s="44"/>
    </row>
    <row r="38" spans="1:5" ht="12">
      <c r="A38" s="60">
        <v>27</v>
      </c>
      <c r="B38" s="56" t="s">
        <v>405</v>
      </c>
      <c r="C38" s="58">
        <f>SUM(C31:C37)</f>
        <v>4070</v>
      </c>
      <c r="D38" s="58">
        <f>SUM(D31:D37)</f>
        <v>4232.8</v>
      </c>
      <c r="E38" s="59">
        <f>SUM(E31:E37)</f>
        <v>4359.784</v>
      </c>
    </row>
    <row r="39" spans="1:5" ht="12">
      <c r="A39" s="43"/>
      <c r="B39" s="41"/>
      <c r="C39" s="5"/>
      <c r="D39" s="5"/>
      <c r="E39" s="44"/>
    </row>
    <row r="40" spans="1:5" ht="12">
      <c r="A40" s="43">
        <v>28</v>
      </c>
      <c r="B40" s="41" t="s">
        <v>406</v>
      </c>
      <c r="C40" s="5"/>
      <c r="D40" s="5"/>
      <c r="E40" s="44"/>
    </row>
    <row r="41" spans="1:5" ht="12">
      <c r="A41" s="43">
        <v>29</v>
      </c>
      <c r="B41" s="41" t="s">
        <v>407</v>
      </c>
      <c r="C41" s="5">
        <v>1155</v>
      </c>
      <c r="D41" s="5">
        <v>2560</v>
      </c>
      <c r="E41" s="44">
        <v>1560</v>
      </c>
    </row>
    <row r="42" spans="1:5" ht="12">
      <c r="A42" s="43">
        <v>30</v>
      </c>
      <c r="B42" s="41" t="s">
        <v>408</v>
      </c>
      <c r="C42" s="5"/>
      <c r="D42" s="5"/>
      <c r="E42" s="44"/>
    </row>
    <row r="43" spans="1:5" ht="12">
      <c r="A43" s="43">
        <v>31</v>
      </c>
      <c r="B43" s="41" t="s">
        <v>641</v>
      </c>
      <c r="C43" s="5">
        <v>200</v>
      </c>
      <c r="D43" s="5"/>
      <c r="E43" s="44"/>
    </row>
    <row r="44" spans="1:5" ht="12">
      <c r="A44" s="43"/>
      <c r="B44" s="41" t="s">
        <v>945</v>
      </c>
      <c r="C44" s="5">
        <v>2333</v>
      </c>
      <c r="D44" s="5">
        <v>2334</v>
      </c>
      <c r="E44" s="44"/>
    </row>
    <row r="45" spans="1:5" ht="12">
      <c r="A45" s="60">
        <v>32</v>
      </c>
      <c r="B45" s="56" t="s">
        <v>554</v>
      </c>
      <c r="C45" s="58">
        <f>SUM(C40:C44)</f>
        <v>3688</v>
      </c>
      <c r="D45" s="58">
        <f>SUM(D40:D44)</f>
        <v>4894</v>
      </c>
      <c r="E45" s="59">
        <f>SUM(E40:E43)</f>
        <v>1560</v>
      </c>
    </row>
    <row r="46" spans="1:5" ht="12">
      <c r="A46" s="41"/>
      <c r="B46" s="41"/>
      <c r="C46" s="5"/>
      <c r="D46" s="5"/>
      <c r="E46" s="44"/>
    </row>
    <row r="47" spans="1:5" ht="12">
      <c r="A47" s="60" t="s">
        <v>409</v>
      </c>
      <c r="B47" s="56" t="s">
        <v>1483</v>
      </c>
      <c r="C47" s="58">
        <f>C15+C38</f>
        <v>128062</v>
      </c>
      <c r="D47" s="58">
        <f>D15+D38</f>
        <v>133083.8</v>
      </c>
      <c r="E47" s="59">
        <f>E15+E38</f>
        <v>135467.854</v>
      </c>
    </row>
    <row r="48" spans="1:5" ht="12">
      <c r="A48" s="60" t="s">
        <v>410</v>
      </c>
      <c r="B48" s="56" t="s">
        <v>489</v>
      </c>
      <c r="C48" s="58">
        <f>C25+C45</f>
        <v>128062</v>
      </c>
      <c r="D48" s="58">
        <f>D25+D45</f>
        <v>133084</v>
      </c>
      <c r="E48" s="59">
        <f>E25+E45</f>
        <v>135468.44</v>
      </c>
    </row>
    <row r="49" spans="1:5" ht="12">
      <c r="A49" s="49"/>
      <c r="B49" s="49"/>
      <c r="C49" s="49"/>
      <c r="D49" s="51"/>
      <c r="E49" s="53"/>
    </row>
    <row r="53" ht="12">
      <c r="C53" s="55"/>
    </row>
  </sheetData>
  <sheetProtection/>
  <mergeCells count="7">
    <mergeCell ref="E1:E3"/>
    <mergeCell ref="A5:E5"/>
    <mergeCell ref="A28:E28"/>
    <mergeCell ref="A1:A3"/>
    <mergeCell ref="B1:B3"/>
    <mergeCell ref="C1:C3"/>
    <mergeCell ref="D1:D3"/>
  </mergeCells>
  <printOptions horizontalCentered="1"/>
  <pageMargins left="0.7874015748031497" right="0.7874015748031497" top="1.535433070866142" bottom="0.8267716535433072" header="0.5118110236220472" footer="0.5118110236220472"/>
  <pageSetup horizontalDpi="300" verticalDpi="300" orientation="portrait" paperSize="9" r:id="rId1"/>
  <headerFooter alignWithMargins="0">
    <oddHeader>&amp;C
&amp;"Arial,Félkövér dőlt"&amp;12Tiszagyulaháza község müködési és felhalmozási célú bevételeit és kiadásait bemutató mérleg 2008-2010 
&amp;R&amp;"Arial,Dőlt"&amp;8 9.számú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F13">
      <selection activeCell="R25" sqref="R25"/>
    </sheetView>
  </sheetViews>
  <sheetFormatPr defaultColWidth="9.00390625" defaultRowHeight="12.75"/>
  <cols>
    <col min="1" max="1" width="4.25390625" style="351" customWidth="1"/>
    <col min="2" max="3" width="9.125" style="351" customWidth="1"/>
    <col min="4" max="4" width="15.75390625" style="351" customWidth="1"/>
    <col min="5" max="5" width="6.00390625" style="351" customWidth="1"/>
    <col min="6" max="7" width="7.25390625" style="351" customWidth="1"/>
    <col min="8" max="8" width="6.25390625" style="351" customWidth="1"/>
    <col min="9" max="9" width="6.125" style="351" customWidth="1"/>
    <col min="10" max="10" width="7.00390625" style="351" customWidth="1"/>
    <col min="11" max="11" width="5.875" style="351" customWidth="1"/>
    <col min="12" max="12" width="8.875" style="351" customWidth="1"/>
    <col min="13" max="13" width="11.00390625" style="351" customWidth="1"/>
    <col min="14" max="14" width="7.75390625" style="351" customWidth="1"/>
    <col min="15" max="16384" width="9.125" style="351" customWidth="1"/>
  </cols>
  <sheetData>
    <row r="2" spans="1:17" ht="12.75">
      <c r="A2" s="284" t="s">
        <v>433</v>
      </c>
      <c r="B2" s="554" t="s">
        <v>908</v>
      </c>
      <c r="C2" s="554"/>
      <c r="D2" s="554"/>
      <c r="E2" s="285" t="s">
        <v>274</v>
      </c>
      <c r="F2" s="285" t="s">
        <v>275</v>
      </c>
      <c r="G2" s="285" t="s">
        <v>276</v>
      </c>
      <c r="H2" s="285" t="s">
        <v>277</v>
      </c>
      <c r="I2" s="285" t="s">
        <v>278</v>
      </c>
      <c r="J2" s="285" t="s">
        <v>279</v>
      </c>
      <c r="K2" s="285" t="s">
        <v>280</v>
      </c>
      <c r="L2" s="285" t="s">
        <v>281</v>
      </c>
      <c r="M2" s="285" t="s">
        <v>282</v>
      </c>
      <c r="N2" s="285" t="s">
        <v>283</v>
      </c>
      <c r="O2" s="285" t="s">
        <v>284</v>
      </c>
      <c r="P2" s="285" t="s">
        <v>285</v>
      </c>
      <c r="Q2" s="285" t="s">
        <v>441</v>
      </c>
    </row>
    <row r="3" spans="1:17" ht="12.75">
      <c r="A3" s="551" t="s">
        <v>1482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3"/>
    </row>
    <row r="4" spans="1:17" ht="12.75">
      <c r="A4" s="555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7"/>
    </row>
    <row r="5" spans="1:17" ht="12.75">
      <c r="A5" s="286" t="s">
        <v>743</v>
      </c>
      <c r="B5" s="548" t="s">
        <v>1108</v>
      </c>
      <c r="C5" s="548"/>
      <c r="D5" s="548"/>
      <c r="E5" s="289">
        <f>396+163+198</f>
        <v>757</v>
      </c>
      <c r="F5" s="289">
        <f>350+197</f>
        <v>547</v>
      </c>
      <c r="G5" s="289">
        <f>370+198</f>
        <v>568</v>
      </c>
      <c r="H5" s="289">
        <f>348+197</f>
        <v>545</v>
      </c>
      <c r="I5" s="289">
        <f>392+163+198</f>
        <v>753</v>
      </c>
      <c r="J5" s="289">
        <f>150+10+40+7+360+198</f>
        <v>765</v>
      </c>
      <c r="K5" s="289">
        <f>130+40+7+235+123+197</f>
        <v>732</v>
      </c>
      <c r="L5" s="289">
        <f>120+40+7+250+198</f>
        <v>615</v>
      </c>
      <c r="M5" s="289">
        <f>301+325+197</f>
        <v>823</v>
      </c>
      <c r="N5" s="289">
        <f>336+263+198</f>
        <v>797</v>
      </c>
      <c r="O5" s="289">
        <f>356+83+198</f>
        <v>637</v>
      </c>
      <c r="P5" s="289">
        <f>286+231+196</f>
        <v>713</v>
      </c>
      <c r="Q5" s="289">
        <f aca="true" t="shared" si="0" ref="Q5:Q12">SUM(E5:P5)</f>
        <v>8252</v>
      </c>
    </row>
    <row r="6" spans="1:17" ht="12.75">
      <c r="A6" s="286" t="s">
        <v>1505</v>
      </c>
      <c r="B6" s="548" t="s">
        <v>442</v>
      </c>
      <c r="C6" s="548"/>
      <c r="D6" s="548"/>
      <c r="E6" s="348">
        <f>SUM(E7:E9)</f>
        <v>2459.861</v>
      </c>
      <c r="F6" s="348">
        <f aca="true" t="shared" si="1" ref="F6:N6">SUM(F7:F9)</f>
        <v>3442.399</v>
      </c>
      <c r="G6" s="348">
        <f t="shared" si="1"/>
        <v>4174.033</v>
      </c>
      <c r="H6" s="348">
        <f t="shared" si="1"/>
        <v>2624.603</v>
      </c>
      <c r="I6" s="348">
        <f t="shared" si="1"/>
        <v>1670.022</v>
      </c>
      <c r="J6" s="348">
        <f t="shared" si="1"/>
        <v>2625.603</v>
      </c>
      <c r="K6" s="348">
        <f t="shared" si="1"/>
        <v>2623.603</v>
      </c>
      <c r="L6" s="348">
        <f t="shared" si="1"/>
        <v>2956.13</v>
      </c>
      <c r="M6" s="348">
        <f t="shared" si="1"/>
        <v>4219.033</v>
      </c>
      <c r="N6" s="348">
        <f t="shared" si="1"/>
        <v>2624.603</v>
      </c>
      <c r="O6" s="348">
        <f>SUM(O7:O9)</f>
        <v>2624.603</v>
      </c>
      <c r="P6" s="348">
        <f>SUM(P7:P9)</f>
        <v>3037.334</v>
      </c>
      <c r="Q6" s="348">
        <f>SUM(E6:P6)</f>
        <v>35081.827</v>
      </c>
    </row>
    <row r="7" spans="1:17" ht="12.75">
      <c r="A7" s="286"/>
      <c r="B7" s="550" t="s">
        <v>443</v>
      </c>
      <c r="C7" s="550"/>
      <c r="D7" s="550"/>
      <c r="E7" s="290">
        <f>42+55</f>
        <v>97</v>
      </c>
      <c r="F7" s="290">
        <f>41+55</f>
        <v>96</v>
      </c>
      <c r="G7" s="290">
        <f>953+55</f>
        <v>1008</v>
      </c>
      <c r="H7" s="290">
        <f>42+46</f>
        <v>88</v>
      </c>
      <c r="I7" s="290">
        <f>42+48</f>
        <v>90</v>
      </c>
      <c r="J7" s="290">
        <f>41+48</f>
        <v>89</v>
      </c>
      <c r="K7" s="290">
        <f>41+47</f>
        <v>88</v>
      </c>
      <c r="L7" s="290">
        <f>42+60</f>
        <v>102</v>
      </c>
      <c r="M7" s="290">
        <f>953+100</f>
        <v>1053</v>
      </c>
      <c r="N7" s="290">
        <f>41+48</f>
        <v>89</v>
      </c>
      <c r="O7" s="290">
        <f>42+47</f>
        <v>89</v>
      </c>
      <c r="P7" s="290">
        <f>42+950</f>
        <v>992</v>
      </c>
      <c r="Q7" s="290">
        <f t="shared" si="0"/>
        <v>3881</v>
      </c>
    </row>
    <row r="8" spans="1:17" ht="12.75">
      <c r="A8" s="286"/>
      <c r="B8" s="550" t="s">
        <v>444</v>
      </c>
      <c r="C8" s="550"/>
      <c r="D8" s="550"/>
      <c r="E8" s="349">
        <f>(28957*0.073)+248</f>
        <v>2361.861</v>
      </c>
      <c r="F8" s="349">
        <f>(28957*0.107)+248</f>
        <v>3346.399</v>
      </c>
      <c r="G8" s="349">
        <f>(28957*0.069)+700+248+220</f>
        <v>3166.0330000000004</v>
      </c>
      <c r="H8" s="350">
        <f>(28957*0.079)+248</f>
        <v>2535.603</v>
      </c>
      <c r="I8" s="349">
        <f>(28957*0.046)+248</f>
        <v>1580.022</v>
      </c>
      <c r="J8" s="349">
        <f>(28957*0.079)+248</f>
        <v>2535.603</v>
      </c>
      <c r="K8" s="349">
        <f>(28957*0.079)+248</f>
        <v>2535.603</v>
      </c>
      <c r="L8" s="349">
        <f>(28957*0.09)+248</f>
        <v>2854.13</v>
      </c>
      <c r="M8" s="349">
        <f>(28957*0.069)+700+248+220</f>
        <v>3166.0330000000004</v>
      </c>
      <c r="N8" s="349">
        <f>(28957*0.079)+248</f>
        <v>2535.603</v>
      </c>
      <c r="O8" s="349">
        <f>(28957*0.079)+248</f>
        <v>2535.603</v>
      </c>
      <c r="P8" s="349">
        <f>(28957*0.062)+249</f>
        <v>2044.334</v>
      </c>
      <c r="Q8" s="349">
        <f t="shared" si="0"/>
        <v>31196.826999999997</v>
      </c>
    </row>
    <row r="9" spans="1:17" ht="12.75">
      <c r="A9" s="286"/>
      <c r="B9" s="550" t="s">
        <v>445</v>
      </c>
      <c r="C9" s="550"/>
      <c r="D9" s="550"/>
      <c r="E9" s="349">
        <v>1</v>
      </c>
      <c r="F9" s="349">
        <v>0</v>
      </c>
      <c r="G9" s="349">
        <v>0</v>
      </c>
      <c r="H9" s="350">
        <v>1</v>
      </c>
      <c r="I9" s="349">
        <v>0</v>
      </c>
      <c r="J9" s="349">
        <v>1</v>
      </c>
      <c r="K9" s="349">
        <v>0</v>
      </c>
      <c r="L9" s="349">
        <v>0</v>
      </c>
      <c r="M9" s="349">
        <v>0</v>
      </c>
      <c r="N9" s="349">
        <v>0</v>
      </c>
      <c r="O9" s="349">
        <v>0</v>
      </c>
      <c r="P9" s="349">
        <v>1</v>
      </c>
      <c r="Q9" s="348">
        <f>SUM(E9:P9)</f>
        <v>4</v>
      </c>
    </row>
    <row r="10" spans="1:17" ht="12.75">
      <c r="A10" s="286" t="s">
        <v>1507</v>
      </c>
      <c r="B10" s="548" t="s">
        <v>446</v>
      </c>
      <c r="C10" s="548"/>
      <c r="D10" s="548"/>
      <c r="E10" s="289" t="s">
        <v>447</v>
      </c>
      <c r="F10" s="289" t="s">
        <v>448</v>
      </c>
      <c r="G10" s="289" t="s">
        <v>448</v>
      </c>
      <c r="H10" s="289" t="s">
        <v>448</v>
      </c>
      <c r="I10" s="289" t="s">
        <v>448</v>
      </c>
      <c r="J10" s="289" t="s">
        <v>448</v>
      </c>
      <c r="K10" s="289" t="s">
        <v>448</v>
      </c>
      <c r="L10" s="289" t="s">
        <v>448</v>
      </c>
      <c r="M10" s="289" t="s">
        <v>448</v>
      </c>
      <c r="N10" s="289" t="s">
        <v>448</v>
      </c>
      <c r="O10" s="289" t="s">
        <v>448</v>
      </c>
      <c r="P10" s="289" t="s">
        <v>448</v>
      </c>
      <c r="Q10" s="289">
        <f t="shared" si="0"/>
        <v>0</v>
      </c>
    </row>
    <row r="11" spans="1:17" ht="12.75">
      <c r="A11" s="286" t="s">
        <v>449</v>
      </c>
      <c r="B11" s="548" t="s">
        <v>450</v>
      </c>
      <c r="C11" s="548"/>
      <c r="D11" s="548"/>
      <c r="E11" s="348">
        <f>(44940*0.073)+333+530</f>
        <v>4143.62</v>
      </c>
      <c r="F11" s="348">
        <f>(44940*0.107)+333</f>
        <v>5141.58</v>
      </c>
      <c r="G11" s="348">
        <f>(44940*0.069)+333</f>
        <v>3433.86</v>
      </c>
      <c r="H11" s="348">
        <f>(44940*0.079)+333</f>
        <v>3883.26</v>
      </c>
      <c r="I11" s="348">
        <f>(44940*0.046)+333+622+230</f>
        <v>3252.24</v>
      </c>
      <c r="J11" s="348">
        <f>(44940*0.079)+333</f>
        <v>3883.26</v>
      </c>
      <c r="K11" s="348">
        <f>(44940*0.079)+333</f>
        <v>3883.26</v>
      </c>
      <c r="L11" s="348">
        <f>(44940*0.09)+333</f>
        <v>4377.6</v>
      </c>
      <c r="M11" s="348">
        <f>(44940*0.069)+333+635-473</f>
        <v>3595.86</v>
      </c>
      <c r="N11" s="348">
        <f>(44940*0.079)+333+639-473</f>
        <v>4049.26</v>
      </c>
      <c r="O11" s="348">
        <f>(44940*0.079)+333+560-473</f>
        <v>3970.26</v>
      </c>
      <c r="P11" s="348">
        <f>(44940*0.062)+333+4+865+960+4000-473</f>
        <v>8475.28</v>
      </c>
      <c r="Q11" s="348">
        <f t="shared" si="0"/>
        <v>52089.340000000004</v>
      </c>
    </row>
    <row r="12" spans="1:17" ht="12.75">
      <c r="A12" s="286" t="s">
        <v>1508</v>
      </c>
      <c r="B12" s="548" t="s">
        <v>451</v>
      </c>
      <c r="C12" s="548"/>
      <c r="D12" s="548"/>
      <c r="E12" s="289">
        <f>265+290+77</f>
        <v>632</v>
      </c>
      <c r="F12" s="289">
        <f>265+290+3+77</f>
        <v>635</v>
      </c>
      <c r="G12" s="289">
        <f>265+290+3+948+77</f>
        <v>1583</v>
      </c>
      <c r="H12" s="289">
        <f>265+290+3+77</f>
        <v>635</v>
      </c>
      <c r="I12" s="289">
        <f>265+290+2+77</f>
        <v>634</v>
      </c>
      <c r="J12" s="289">
        <f>265+290+193+1+77</f>
        <v>826</v>
      </c>
      <c r="K12" s="289">
        <f>290+1560+77</f>
        <v>1927</v>
      </c>
      <c r="L12" s="289">
        <f>290+835+77</f>
        <v>1202</v>
      </c>
      <c r="M12" s="289">
        <f>290+835+77</f>
        <v>1202</v>
      </c>
      <c r="N12" s="289">
        <f>290+835+77</f>
        <v>1202</v>
      </c>
      <c r="O12" s="289">
        <f>290+835+77</f>
        <v>1202</v>
      </c>
      <c r="P12" s="289">
        <f>290+835+77-6</f>
        <v>1196</v>
      </c>
      <c r="Q12" s="289">
        <f t="shared" si="0"/>
        <v>12876</v>
      </c>
    </row>
    <row r="13" spans="1:17" ht="12.75">
      <c r="A13" s="286" t="s">
        <v>1509</v>
      </c>
      <c r="B13" s="548" t="s">
        <v>1410</v>
      </c>
      <c r="C13" s="548"/>
      <c r="D13" s="548"/>
      <c r="E13" s="289" t="s">
        <v>447</v>
      </c>
      <c r="F13" s="289" t="s">
        <v>447</v>
      </c>
      <c r="G13" s="289" t="s">
        <v>447</v>
      </c>
      <c r="H13" s="289" t="s">
        <v>447</v>
      </c>
      <c r="I13" s="289" t="s">
        <v>447</v>
      </c>
      <c r="J13" s="289" t="s">
        <v>447</v>
      </c>
      <c r="K13" s="289" t="s">
        <v>447</v>
      </c>
      <c r="L13" s="289" t="s">
        <v>447</v>
      </c>
      <c r="M13" s="289" t="s">
        <v>447</v>
      </c>
      <c r="N13" s="289" t="s">
        <v>447</v>
      </c>
      <c r="O13" s="289" t="s">
        <v>447</v>
      </c>
      <c r="P13" s="289" t="s">
        <v>447</v>
      </c>
      <c r="Q13" s="289">
        <v>0</v>
      </c>
    </row>
    <row r="14" spans="1:17" ht="12.75">
      <c r="A14" s="549" t="s">
        <v>452</v>
      </c>
      <c r="B14" s="549"/>
      <c r="C14" s="549"/>
      <c r="D14" s="549"/>
      <c r="E14" s="288">
        <f>SUM(E5,E6,E10,E11,E12,E13)</f>
        <v>7992.481</v>
      </c>
      <c r="F14" s="288">
        <f aca="true" t="shared" si="2" ref="F14:P14">SUM(F5,F6,F10,F11,F12,F13)</f>
        <v>9765.979</v>
      </c>
      <c r="G14" s="288">
        <f t="shared" si="2"/>
        <v>9758.893</v>
      </c>
      <c r="H14" s="288">
        <f t="shared" si="2"/>
        <v>7687.863</v>
      </c>
      <c r="I14" s="288">
        <f t="shared" si="2"/>
        <v>6309.262</v>
      </c>
      <c r="J14" s="288">
        <f t="shared" si="2"/>
        <v>8099.863</v>
      </c>
      <c r="K14" s="288">
        <f t="shared" si="2"/>
        <v>9165.863000000001</v>
      </c>
      <c r="L14" s="288">
        <f t="shared" si="2"/>
        <v>9150.73</v>
      </c>
      <c r="M14" s="288">
        <f t="shared" si="2"/>
        <v>9839.893</v>
      </c>
      <c r="N14" s="288">
        <f t="shared" si="2"/>
        <v>8672.863000000001</v>
      </c>
      <c r="O14" s="288">
        <f t="shared" si="2"/>
        <v>8433.863000000001</v>
      </c>
      <c r="P14" s="288">
        <f t="shared" si="2"/>
        <v>13421.614000000001</v>
      </c>
      <c r="Q14" s="288">
        <f>SUM(Q5,Q6,Q10,Q11,Q12,Q13)</f>
        <v>108299.167</v>
      </c>
    </row>
    <row r="15" spans="1:17" ht="12.75">
      <c r="A15" s="286" t="s">
        <v>521</v>
      </c>
      <c r="B15" s="548" t="s">
        <v>453</v>
      </c>
      <c r="C15" s="548"/>
      <c r="D15" s="548"/>
      <c r="E15" s="349">
        <f>E34-E14</f>
        <v>2165.5190000000002</v>
      </c>
      <c r="F15" s="349">
        <f aca="true" t="shared" si="3" ref="F15:P15">F34-F14</f>
        <v>2395.0210000000006</v>
      </c>
      <c r="G15" s="349">
        <f t="shared" si="3"/>
        <v>754.107</v>
      </c>
      <c r="H15" s="349">
        <f t="shared" si="3"/>
        <v>2340.1369999999997</v>
      </c>
      <c r="I15" s="349">
        <f t="shared" si="3"/>
        <v>3949.7380000000003</v>
      </c>
      <c r="J15" s="349">
        <f t="shared" si="3"/>
        <v>3096.1369999999997</v>
      </c>
      <c r="K15" s="349">
        <f t="shared" si="3"/>
        <v>955.1369999999988</v>
      </c>
      <c r="L15" s="349">
        <f t="shared" si="3"/>
        <v>762.2700000000004</v>
      </c>
      <c r="M15" s="349">
        <f t="shared" si="3"/>
        <v>3243.107</v>
      </c>
      <c r="N15" s="349">
        <f t="shared" si="3"/>
        <v>1290.1369999999988</v>
      </c>
      <c r="O15" s="349">
        <f t="shared" si="3"/>
        <v>-85.8630000000012</v>
      </c>
      <c r="P15" s="349">
        <f t="shared" si="3"/>
        <v>-1102.6140000000014</v>
      </c>
      <c r="Q15" s="349">
        <f>SUM(E15:P15)</f>
        <v>19762.832999999995</v>
      </c>
    </row>
    <row r="16" spans="1:17" ht="12.75">
      <c r="A16" s="549" t="s">
        <v>454</v>
      </c>
      <c r="B16" s="549"/>
      <c r="C16" s="549"/>
      <c r="D16" s="549"/>
      <c r="E16" s="288">
        <f>E14+E15</f>
        <v>10158</v>
      </c>
      <c r="F16" s="288">
        <f aca="true" t="shared" si="4" ref="F16:O16">F14+F15</f>
        <v>12161</v>
      </c>
      <c r="G16" s="288">
        <f t="shared" si="4"/>
        <v>10513</v>
      </c>
      <c r="H16" s="288">
        <f t="shared" si="4"/>
        <v>10028</v>
      </c>
      <c r="I16" s="288">
        <f t="shared" si="4"/>
        <v>10259</v>
      </c>
      <c r="J16" s="288">
        <f>J14+J15</f>
        <v>11196</v>
      </c>
      <c r="K16" s="288">
        <f t="shared" si="4"/>
        <v>10121</v>
      </c>
      <c r="L16" s="288">
        <f t="shared" si="4"/>
        <v>9913</v>
      </c>
      <c r="M16" s="288">
        <f t="shared" si="4"/>
        <v>13083</v>
      </c>
      <c r="N16" s="288">
        <f t="shared" si="4"/>
        <v>9963</v>
      </c>
      <c r="O16" s="288">
        <f t="shared" si="4"/>
        <v>8348</v>
      </c>
      <c r="P16" s="288">
        <f>P14+P15</f>
        <v>12319</v>
      </c>
      <c r="Q16" s="288">
        <f>SUM(E16:P16)</f>
        <v>128062</v>
      </c>
    </row>
    <row r="17" spans="1:17" ht="12.75">
      <c r="A17" s="551" t="s">
        <v>556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3"/>
    </row>
    <row r="18" spans="1:17" ht="12.75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3"/>
    </row>
    <row r="19" spans="1:17" ht="12.75">
      <c r="A19" s="286" t="s">
        <v>743</v>
      </c>
      <c r="B19" s="548" t="s">
        <v>257</v>
      </c>
      <c r="C19" s="548"/>
      <c r="D19" s="548"/>
      <c r="E19" s="289">
        <f>SUM(E20:E22)</f>
        <v>2479</v>
      </c>
      <c r="F19" s="289">
        <f aca="true" t="shared" si="5" ref="F19:N19">SUM(F20:F22)</f>
        <v>2179</v>
      </c>
      <c r="G19" s="289">
        <f t="shared" si="5"/>
        <v>2219</v>
      </c>
      <c r="H19" s="289">
        <f t="shared" si="5"/>
        <v>2327</v>
      </c>
      <c r="I19" s="289">
        <f t="shared" si="5"/>
        <v>2342</v>
      </c>
      <c r="J19" s="289">
        <f t="shared" si="5"/>
        <v>2339</v>
      </c>
      <c r="K19" s="289">
        <f t="shared" si="5"/>
        <v>2053</v>
      </c>
      <c r="L19" s="289">
        <f t="shared" si="5"/>
        <v>2037</v>
      </c>
      <c r="M19" s="289">
        <f t="shared" si="5"/>
        <v>1958</v>
      </c>
      <c r="N19" s="289">
        <f t="shared" si="5"/>
        <v>1927</v>
      </c>
      <c r="O19" s="289">
        <f>SUM(O20:O22)</f>
        <v>1958</v>
      </c>
      <c r="P19" s="289">
        <f>SUM(P20:P22)</f>
        <v>1827</v>
      </c>
      <c r="Q19" s="289">
        <f aca="true" t="shared" si="6" ref="Q19:Q29">SUM(E19:P19)</f>
        <v>25645</v>
      </c>
    </row>
    <row r="20" spans="1:17" ht="12.75">
      <c r="A20" s="290"/>
      <c r="B20" s="550" t="s">
        <v>455</v>
      </c>
      <c r="C20" s="550"/>
      <c r="D20" s="550"/>
      <c r="E20" s="290">
        <f>337+48+1600+40</f>
        <v>2025</v>
      </c>
      <c r="F20" s="290">
        <f>337+48+1299+41</f>
        <v>1725</v>
      </c>
      <c r="G20" s="290">
        <f>337+48+1299+40</f>
        <v>1724</v>
      </c>
      <c r="H20" s="290">
        <f>337+48+1299+41</f>
        <v>1725</v>
      </c>
      <c r="I20" s="290">
        <f>337+49+1299+40</f>
        <v>1725</v>
      </c>
      <c r="J20" s="290">
        <f>337+49+1299+41</f>
        <v>1726</v>
      </c>
      <c r="K20" s="290">
        <f>1299+56+40</f>
        <v>1395</v>
      </c>
      <c r="L20" s="290">
        <f>1299+53+41</f>
        <v>1393</v>
      </c>
      <c r="M20" s="290">
        <f>1299+36+40</f>
        <v>1375</v>
      </c>
      <c r="N20" s="290">
        <f>1299+65+41</f>
        <v>1405</v>
      </c>
      <c r="O20" s="290">
        <f>1299+35+41</f>
        <v>1375</v>
      </c>
      <c r="P20" s="290">
        <f>1299-5+44</f>
        <v>1338</v>
      </c>
      <c r="Q20" s="290">
        <f t="shared" si="6"/>
        <v>18931</v>
      </c>
    </row>
    <row r="21" spans="1:17" ht="12.75">
      <c r="A21" s="290"/>
      <c r="B21" s="550" t="s">
        <v>456</v>
      </c>
      <c r="C21" s="550"/>
      <c r="D21" s="550"/>
      <c r="E21" s="290">
        <f>12+223</f>
        <v>235</v>
      </c>
      <c r="F21" s="290">
        <f>12+223</f>
        <v>235</v>
      </c>
      <c r="G21" s="290">
        <f>12+223</f>
        <v>235</v>
      </c>
      <c r="H21" s="290">
        <f>48+223</f>
        <v>271</v>
      </c>
      <c r="I21" s="290">
        <f>12+223</f>
        <v>235</v>
      </c>
      <c r="J21" s="290">
        <f>39+12+180</f>
        <v>231</v>
      </c>
      <c r="K21" s="290">
        <f>223-50</f>
        <v>173</v>
      </c>
      <c r="L21" s="290">
        <f>223-63</f>
        <v>160</v>
      </c>
      <c r="M21" s="290">
        <v>223</v>
      </c>
      <c r="N21" s="290">
        <f>223-45</f>
        <v>178</v>
      </c>
      <c r="O21" s="290">
        <v>223</v>
      </c>
      <c r="P21" s="290">
        <f>545-236-136-44</f>
        <v>129</v>
      </c>
      <c r="Q21" s="290">
        <f t="shared" si="6"/>
        <v>2528</v>
      </c>
    </row>
    <row r="22" spans="1:17" ht="12.75">
      <c r="A22" s="290"/>
      <c r="B22" s="550" t="s">
        <v>457</v>
      </c>
      <c r="C22" s="550"/>
      <c r="D22" s="550"/>
      <c r="E22" s="290">
        <f>109+110</f>
        <v>219</v>
      </c>
      <c r="F22" s="290">
        <f>109+110</f>
        <v>219</v>
      </c>
      <c r="G22" s="290">
        <f>150+110</f>
        <v>260</v>
      </c>
      <c r="H22" s="290">
        <f>221+110</f>
        <v>331</v>
      </c>
      <c r="I22" s="290">
        <f>272+110</f>
        <v>382</v>
      </c>
      <c r="J22" s="290">
        <f>272+110</f>
        <v>382</v>
      </c>
      <c r="K22" s="290">
        <f>250+125+110</f>
        <v>485</v>
      </c>
      <c r="L22" s="290">
        <f>250+124+110</f>
        <v>484</v>
      </c>
      <c r="M22" s="290">
        <f>250+110</f>
        <v>360</v>
      </c>
      <c r="N22" s="290">
        <f>250-16+110</f>
        <v>344</v>
      </c>
      <c r="O22" s="290">
        <f>250+110</f>
        <v>360</v>
      </c>
      <c r="P22" s="290">
        <f>250+110</f>
        <v>360</v>
      </c>
      <c r="Q22" s="290">
        <f t="shared" si="6"/>
        <v>4186</v>
      </c>
    </row>
    <row r="23" spans="1:17" ht="12.75">
      <c r="A23" s="286" t="s">
        <v>1505</v>
      </c>
      <c r="B23" s="548" t="s">
        <v>458</v>
      </c>
      <c r="C23" s="548"/>
      <c r="D23" s="548"/>
      <c r="E23" s="289">
        <f>112+650+45</f>
        <v>807</v>
      </c>
      <c r="F23" s="289">
        <f>112+560+46</f>
        <v>718</v>
      </c>
      <c r="G23" s="289">
        <f>112+560+45</f>
        <v>717</v>
      </c>
      <c r="H23" s="289">
        <f>112+560+46</f>
        <v>718</v>
      </c>
      <c r="I23" s="289">
        <f>112+560+45</f>
        <v>717</v>
      </c>
      <c r="J23" s="289">
        <f>112+560+46</f>
        <v>718</v>
      </c>
      <c r="K23" s="289">
        <f>545+45</f>
        <v>590</v>
      </c>
      <c r="L23" s="289">
        <f>550+46</f>
        <v>596</v>
      </c>
      <c r="M23" s="289">
        <f>525+45</f>
        <v>570</v>
      </c>
      <c r="N23" s="289">
        <f>530+100+46</f>
        <v>676</v>
      </c>
      <c r="O23" s="289">
        <f>512+40+45</f>
        <v>597</v>
      </c>
      <c r="P23" s="289">
        <f>613+3+46</f>
        <v>662</v>
      </c>
      <c r="Q23" s="289">
        <f t="shared" si="6"/>
        <v>8086</v>
      </c>
    </row>
    <row r="24" spans="1:17" ht="12.75">
      <c r="A24" s="286" t="s">
        <v>1507</v>
      </c>
      <c r="B24" s="548" t="s">
        <v>756</v>
      </c>
      <c r="C24" s="548"/>
      <c r="D24" s="548"/>
      <c r="E24" s="289">
        <f>1770+465</f>
        <v>2235</v>
      </c>
      <c r="F24" s="289">
        <f>1680+465</f>
        <v>2145</v>
      </c>
      <c r="G24" s="289">
        <f>1735+465</f>
        <v>2200</v>
      </c>
      <c r="H24" s="289">
        <f>1653+466</f>
        <v>2119</v>
      </c>
      <c r="I24" s="289">
        <f>1890+466</f>
        <v>2356</v>
      </c>
      <c r="J24" s="289">
        <f>1458+466</f>
        <v>1924</v>
      </c>
      <c r="K24" s="289">
        <f>1456+236+161+465</f>
        <v>2318</v>
      </c>
      <c r="L24" s="289">
        <f>1458+365+466</f>
        <v>2289</v>
      </c>
      <c r="M24" s="289">
        <f>1928-200+465</f>
        <v>2193</v>
      </c>
      <c r="N24" s="289">
        <f>2354+466</f>
        <v>2820</v>
      </c>
      <c r="O24" s="289">
        <f>1653+66+465</f>
        <v>2184</v>
      </c>
      <c r="P24" s="289">
        <f>2146+466</f>
        <v>2612</v>
      </c>
      <c r="Q24" s="289">
        <f t="shared" si="6"/>
        <v>27395</v>
      </c>
    </row>
    <row r="25" spans="1:17" ht="12.75">
      <c r="A25" s="286" t="s">
        <v>449</v>
      </c>
      <c r="B25" s="548" t="s">
        <v>1446</v>
      </c>
      <c r="C25" s="548"/>
      <c r="D25" s="548"/>
      <c r="E25" s="289">
        <v>211</v>
      </c>
      <c r="F25" s="289">
        <f>211+2577</f>
        <v>2788</v>
      </c>
      <c r="G25" s="289">
        <v>311</v>
      </c>
      <c r="H25" s="289">
        <v>311</v>
      </c>
      <c r="I25" s="289">
        <v>311</v>
      </c>
      <c r="J25" s="289">
        <v>312</v>
      </c>
      <c r="K25" s="289">
        <f>211+100</f>
        <v>311</v>
      </c>
      <c r="L25" s="289">
        <f>211+200+85</f>
        <v>496</v>
      </c>
      <c r="M25" s="289">
        <f>211+200+2300</f>
        <v>2711</v>
      </c>
      <c r="N25" s="289">
        <f>211+200+83</f>
        <v>494</v>
      </c>
      <c r="O25" s="289">
        <f>211+200+83</f>
        <v>494</v>
      </c>
      <c r="P25" s="289">
        <f>211+200+2+83</f>
        <v>496</v>
      </c>
      <c r="Q25" s="289">
        <f t="shared" si="6"/>
        <v>9246</v>
      </c>
    </row>
    <row r="26" spans="1:17" ht="12.75">
      <c r="A26" s="286" t="s">
        <v>1508</v>
      </c>
      <c r="B26" s="548" t="s">
        <v>459</v>
      </c>
      <c r="C26" s="548"/>
      <c r="D26" s="548"/>
      <c r="E26" s="289">
        <f aca="true" t="shared" si="7" ref="E26:O26">SUM(E27:E29)</f>
        <v>4426</v>
      </c>
      <c r="F26" s="289">
        <f t="shared" si="7"/>
        <v>4331</v>
      </c>
      <c r="G26" s="289">
        <f t="shared" si="7"/>
        <v>4483</v>
      </c>
      <c r="H26" s="289">
        <f t="shared" si="7"/>
        <v>4553</v>
      </c>
      <c r="I26" s="289">
        <f t="shared" si="7"/>
        <v>4533</v>
      </c>
      <c r="J26" s="289">
        <f t="shared" si="7"/>
        <v>5320</v>
      </c>
      <c r="K26" s="289">
        <f t="shared" si="7"/>
        <v>4249</v>
      </c>
      <c r="L26" s="289">
        <f t="shared" si="7"/>
        <v>4495</v>
      </c>
      <c r="M26" s="289">
        <f t="shared" si="7"/>
        <v>4068</v>
      </c>
      <c r="N26" s="289">
        <f t="shared" si="7"/>
        <v>3846</v>
      </c>
      <c r="O26" s="289">
        <f t="shared" si="7"/>
        <v>3115</v>
      </c>
      <c r="P26" s="289">
        <f>SUM(P27:P29)</f>
        <v>3138</v>
      </c>
      <c r="Q26" s="289">
        <f t="shared" si="6"/>
        <v>50557</v>
      </c>
    </row>
    <row r="27" spans="1:17" ht="12.75">
      <c r="A27" s="290"/>
      <c r="B27" s="550" t="s">
        <v>460</v>
      </c>
      <c r="C27" s="550"/>
      <c r="D27" s="550"/>
      <c r="E27" s="290">
        <v>2691</v>
      </c>
      <c r="F27" s="290">
        <v>2691</v>
      </c>
      <c r="G27" s="290">
        <f>2691+150</f>
        <v>2841</v>
      </c>
      <c r="H27" s="290">
        <v>2691</v>
      </c>
      <c r="I27" s="290">
        <v>2691</v>
      </c>
      <c r="J27" s="290">
        <v>2691</v>
      </c>
      <c r="K27" s="290">
        <f>2691-201</f>
        <v>2490</v>
      </c>
      <c r="L27" s="290">
        <v>2691</v>
      </c>
      <c r="M27" s="290">
        <f>2691-658</f>
        <v>2033</v>
      </c>
      <c r="N27" s="290">
        <f>2691+50-660</f>
        <v>2081</v>
      </c>
      <c r="O27" s="290">
        <f>2691-896-656</f>
        <v>1139</v>
      </c>
      <c r="P27" s="290">
        <f>2691-789-657</f>
        <v>1245</v>
      </c>
      <c r="Q27" s="290">
        <f t="shared" si="6"/>
        <v>27975</v>
      </c>
    </row>
    <row r="28" spans="1:17" ht="12.75">
      <c r="A28" s="290"/>
      <c r="B28" s="550" t="s">
        <v>461</v>
      </c>
      <c r="C28" s="550"/>
      <c r="D28" s="550"/>
      <c r="E28" s="290">
        <v>0</v>
      </c>
      <c r="F28" s="290">
        <v>0</v>
      </c>
      <c r="G28" s="290">
        <v>0</v>
      </c>
      <c r="H28" s="290">
        <v>0</v>
      </c>
      <c r="I28" s="290">
        <v>200</v>
      </c>
      <c r="J28" s="290">
        <v>594</v>
      </c>
      <c r="K28" s="290">
        <f>200-5</f>
        <v>195</v>
      </c>
      <c r="L28" s="290">
        <v>100</v>
      </c>
      <c r="M28" s="290">
        <v>0</v>
      </c>
      <c r="N28" s="290">
        <v>0</v>
      </c>
      <c r="O28" s="290">
        <v>66</v>
      </c>
      <c r="P28" s="290">
        <v>0</v>
      </c>
      <c r="Q28" s="290">
        <f t="shared" si="6"/>
        <v>1155</v>
      </c>
    </row>
    <row r="29" spans="1:17" ht="12.75">
      <c r="A29" s="290"/>
      <c r="B29" s="550" t="s">
        <v>462</v>
      </c>
      <c r="C29" s="550"/>
      <c r="D29" s="550"/>
      <c r="E29" s="290">
        <v>1735</v>
      </c>
      <c r="F29" s="290">
        <v>1640</v>
      </c>
      <c r="G29" s="290">
        <v>1642</v>
      </c>
      <c r="H29" s="290">
        <v>1862</v>
      </c>
      <c r="I29" s="290">
        <v>1642</v>
      </c>
      <c r="J29" s="290">
        <v>2035</v>
      </c>
      <c r="K29" s="290">
        <v>1564</v>
      </c>
      <c r="L29" s="290">
        <f>1652+52</f>
        <v>1704</v>
      </c>
      <c r="M29" s="290">
        <v>2035</v>
      </c>
      <c r="N29" s="290">
        <v>1765</v>
      </c>
      <c r="O29" s="290">
        <v>1910</v>
      </c>
      <c r="P29" s="290">
        <f>1895-2</f>
        <v>1893</v>
      </c>
      <c r="Q29" s="290">
        <f t="shared" si="6"/>
        <v>21427</v>
      </c>
    </row>
    <row r="30" spans="1:17" ht="12.75">
      <c r="A30" s="290" t="s">
        <v>1509</v>
      </c>
      <c r="B30" s="548" t="s">
        <v>463</v>
      </c>
      <c r="C30" s="548"/>
      <c r="D30" s="548"/>
      <c r="E30" s="290" t="s">
        <v>448</v>
      </c>
      <c r="F30" s="290" t="s">
        <v>448</v>
      </c>
      <c r="G30" s="290" t="s">
        <v>448</v>
      </c>
      <c r="H30" s="290" t="s">
        <v>448</v>
      </c>
      <c r="I30" s="290" t="s">
        <v>448</v>
      </c>
      <c r="J30" s="290" t="s">
        <v>448</v>
      </c>
      <c r="K30" s="290" t="s">
        <v>448</v>
      </c>
      <c r="L30" s="290" t="s">
        <v>448</v>
      </c>
      <c r="M30" s="290" t="s">
        <v>448</v>
      </c>
      <c r="N30" s="290" t="s">
        <v>448</v>
      </c>
      <c r="O30" s="290" t="s">
        <v>448</v>
      </c>
      <c r="P30" s="290" t="s">
        <v>448</v>
      </c>
      <c r="Q30" s="290" t="s">
        <v>448</v>
      </c>
    </row>
    <row r="31" spans="1:17" ht="12.75">
      <c r="A31" s="290" t="s">
        <v>521</v>
      </c>
      <c r="B31" s="548" t="s">
        <v>464</v>
      </c>
      <c r="C31" s="548"/>
      <c r="D31" s="548"/>
      <c r="E31" s="290" t="s">
        <v>448</v>
      </c>
      <c r="F31" s="290" t="s">
        <v>448</v>
      </c>
      <c r="G31" s="290" t="s">
        <v>448</v>
      </c>
      <c r="H31" s="290" t="s">
        <v>448</v>
      </c>
      <c r="I31" s="290" t="s">
        <v>448</v>
      </c>
      <c r="J31" s="290" t="s">
        <v>448</v>
      </c>
      <c r="K31" s="290" t="s">
        <v>448</v>
      </c>
      <c r="L31" s="290" t="s">
        <v>448</v>
      </c>
      <c r="M31" s="290" t="s">
        <v>448</v>
      </c>
      <c r="N31" s="290" t="s">
        <v>448</v>
      </c>
      <c r="O31" s="290" t="s">
        <v>448</v>
      </c>
      <c r="P31" s="290" t="s">
        <v>448</v>
      </c>
      <c r="Q31" s="290" t="s">
        <v>448</v>
      </c>
    </row>
    <row r="32" spans="1:17" ht="12.75">
      <c r="A32" s="290" t="s">
        <v>523</v>
      </c>
      <c r="B32" s="548" t="s">
        <v>1304</v>
      </c>
      <c r="C32" s="548"/>
      <c r="D32" s="548"/>
      <c r="E32" s="290" t="s">
        <v>448</v>
      </c>
      <c r="F32" s="290" t="s">
        <v>448</v>
      </c>
      <c r="G32" s="290" t="s">
        <v>448</v>
      </c>
      <c r="H32" s="290" t="s">
        <v>448</v>
      </c>
      <c r="I32" s="290" t="s">
        <v>448</v>
      </c>
      <c r="J32" s="290" t="s">
        <v>448</v>
      </c>
      <c r="K32" s="290">
        <v>600</v>
      </c>
      <c r="L32" s="290" t="s">
        <v>448</v>
      </c>
      <c r="M32" s="290" t="s">
        <v>448</v>
      </c>
      <c r="N32" s="290">
        <v>200</v>
      </c>
      <c r="O32" s="290" t="s">
        <v>448</v>
      </c>
      <c r="P32" s="290" t="s">
        <v>448</v>
      </c>
      <c r="Q32" s="290">
        <f>SUM(E32:P32)</f>
        <v>800</v>
      </c>
    </row>
    <row r="33" spans="1:17" ht="12.75">
      <c r="A33" s="290" t="s">
        <v>525</v>
      </c>
      <c r="B33" s="548" t="s">
        <v>744</v>
      </c>
      <c r="C33" s="548"/>
      <c r="D33" s="548"/>
      <c r="E33" s="289"/>
      <c r="F33" s="289"/>
      <c r="G33" s="289">
        <v>583</v>
      </c>
      <c r="H33" s="289"/>
      <c r="I33" s="289"/>
      <c r="J33" s="289">
        <v>583</v>
      </c>
      <c r="K33" s="289"/>
      <c r="L33" s="289"/>
      <c r="M33" s="289">
        <v>1583</v>
      </c>
      <c r="N33" s="289"/>
      <c r="O33" s="289"/>
      <c r="P33" s="289">
        <v>3584</v>
      </c>
      <c r="Q33" s="289">
        <f>SUM(E33:P33)</f>
        <v>6333</v>
      </c>
    </row>
    <row r="34" spans="1:17" ht="12.75">
      <c r="A34" s="549" t="s">
        <v>465</v>
      </c>
      <c r="B34" s="549"/>
      <c r="C34" s="549"/>
      <c r="D34" s="549"/>
      <c r="E34" s="284">
        <f aca="true" t="shared" si="8" ref="E34:O34">SUM(E19,E23,E24,E25,E26,E30,E31,E32,E33)</f>
        <v>10158</v>
      </c>
      <c r="F34" s="284">
        <f t="shared" si="8"/>
        <v>12161</v>
      </c>
      <c r="G34" s="284">
        <f t="shared" si="8"/>
        <v>10513</v>
      </c>
      <c r="H34" s="284">
        <f t="shared" si="8"/>
        <v>10028</v>
      </c>
      <c r="I34" s="284">
        <f t="shared" si="8"/>
        <v>10259</v>
      </c>
      <c r="J34" s="284">
        <f t="shared" si="8"/>
        <v>11196</v>
      </c>
      <c r="K34" s="284">
        <f t="shared" si="8"/>
        <v>10121</v>
      </c>
      <c r="L34" s="284">
        <f t="shared" si="8"/>
        <v>9913</v>
      </c>
      <c r="M34" s="284">
        <f t="shared" si="8"/>
        <v>13083</v>
      </c>
      <c r="N34" s="284">
        <f t="shared" si="8"/>
        <v>9963</v>
      </c>
      <c r="O34" s="284">
        <f t="shared" si="8"/>
        <v>8348</v>
      </c>
      <c r="P34" s="284">
        <f>SUM(P19,P23,P24,P25,P26,P30,P31,P32,P33)</f>
        <v>12319</v>
      </c>
      <c r="Q34" s="284">
        <f>SUM(E34:P34)</f>
        <v>128062</v>
      </c>
    </row>
    <row r="38" ht="12.75">
      <c r="R38" s="351" t="s">
        <v>208</v>
      </c>
    </row>
  </sheetData>
  <sheetProtection/>
  <mergeCells count="31">
    <mergeCell ref="B2:D2"/>
    <mergeCell ref="A3:Q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A14:D14"/>
    <mergeCell ref="B15:D15"/>
    <mergeCell ref="A16:D16"/>
    <mergeCell ref="A17:Q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2:D32"/>
    <mergeCell ref="B33:D33"/>
    <mergeCell ref="A34:D34"/>
    <mergeCell ref="B28:D28"/>
    <mergeCell ref="B29:D29"/>
    <mergeCell ref="B30:D30"/>
    <mergeCell ref="B31:D31"/>
  </mergeCells>
  <printOptions/>
  <pageMargins left="0.25" right="0.25" top="1" bottom="1" header="0.5" footer="0.5"/>
  <pageSetup horizontalDpi="600" verticalDpi="600" orientation="landscape" paperSize="9" r:id="rId1"/>
  <headerFooter alignWithMargins="0">
    <oddHeader>&amp;Ladatok ezer forintban&amp;CTiszagyulaháza 2008. évi előirányzatfelhasználási terve&amp;R10. számú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F17" sqref="F17"/>
    </sheetView>
  </sheetViews>
  <sheetFormatPr defaultColWidth="9.00390625" defaultRowHeight="12.75"/>
  <cols>
    <col min="2" max="2" width="26.75390625" style="0" customWidth="1"/>
    <col min="3" max="3" width="19.125" style="0" customWidth="1"/>
    <col min="4" max="4" width="27.75390625" style="0" customWidth="1"/>
    <col min="5" max="5" width="15.375" style="0" customWidth="1"/>
  </cols>
  <sheetData>
    <row r="2" spans="1:5" ht="12.75">
      <c r="A2" s="558" t="s">
        <v>1396</v>
      </c>
      <c r="B2" s="558" t="s">
        <v>1397</v>
      </c>
      <c r="C2" s="558" t="s">
        <v>1398</v>
      </c>
      <c r="D2" s="558" t="s">
        <v>1399</v>
      </c>
      <c r="E2" s="558" t="s">
        <v>1400</v>
      </c>
    </row>
    <row r="3" spans="1:5" ht="12.75">
      <c r="A3" s="558"/>
      <c r="B3" s="558"/>
      <c r="C3" s="558"/>
      <c r="D3" s="558"/>
      <c r="E3" s="558"/>
    </row>
    <row r="4" spans="1:5" ht="12.75">
      <c r="A4" s="287" t="s">
        <v>743</v>
      </c>
      <c r="B4" s="287" t="s">
        <v>1401</v>
      </c>
      <c r="C4" s="287">
        <v>2469</v>
      </c>
      <c r="D4" s="287">
        <v>2042</v>
      </c>
      <c r="E4" s="287">
        <v>427</v>
      </c>
    </row>
    <row r="5" spans="1:5" ht="12.75">
      <c r="A5" s="287" t="s">
        <v>1505</v>
      </c>
      <c r="B5" s="287"/>
      <c r="C5" s="287"/>
      <c r="D5" s="287"/>
      <c r="E5" s="287"/>
    </row>
    <row r="6" spans="1:5" ht="12.75">
      <c r="A6" s="287" t="s">
        <v>1507</v>
      </c>
      <c r="B6" s="287"/>
      <c r="C6" s="287"/>
      <c r="D6" s="287"/>
      <c r="E6" s="287"/>
    </row>
    <row r="7" spans="1:5" ht="12.75">
      <c r="A7" s="287" t="s">
        <v>449</v>
      </c>
      <c r="B7" s="287"/>
      <c r="C7" s="287"/>
      <c r="D7" s="287"/>
      <c r="E7" s="287"/>
    </row>
    <row r="8" spans="1:5" ht="12.75">
      <c r="A8" s="287" t="s">
        <v>1508</v>
      </c>
      <c r="B8" s="287"/>
      <c r="C8" s="287"/>
      <c r="D8" s="287"/>
      <c r="E8" s="287"/>
    </row>
    <row r="9" spans="1:5" ht="12.75">
      <c r="A9" s="287" t="s">
        <v>1509</v>
      </c>
      <c r="B9" s="287"/>
      <c r="C9" s="287"/>
      <c r="D9" s="287"/>
      <c r="E9" s="287"/>
    </row>
    <row r="10" spans="1:5" ht="12.75">
      <c r="A10" s="287" t="s">
        <v>521</v>
      </c>
      <c r="B10" s="287"/>
      <c r="C10" s="287"/>
      <c r="D10" s="287"/>
      <c r="E10" s="287"/>
    </row>
    <row r="11" spans="1:5" ht="12.75">
      <c r="A11" s="287" t="s">
        <v>523</v>
      </c>
      <c r="B11" s="287"/>
      <c r="C11" s="287"/>
      <c r="D11" s="287"/>
      <c r="E11" s="287"/>
    </row>
    <row r="12" spans="1:5" ht="12.75">
      <c r="A12" s="287" t="s">
        <v>525</v>
      </c>
      <c r="B12" s="287"/>
      <c r="C12" s="287"/>
      <c r="D12" s="287"/>
      <c r="E12" s="287"/>
    </row>
    <row r="13" spans="1:5" ht="12.75">
      <c r="A13" s="287" t="s">
        <v>323</v>
      </c>
      <c r="B13" s="287"/>
      <c r="C13" s="287"/>
      <c r="D13" s="287"/>
      <c r="E13" s="287"/>
    </row>
    <row r="14" spans="1:5" ht="12.75">
      <c r="A14" s="287" t="s">
        <v>326</v>
      </c>
      <c r="B14" s="287" t="s">
        <v>242</v>
      </c>
      <c r="C14" s="287">
        <v>2469</v>
      </c>
      <c r="D14" s="287">
        <v>2042</v>
      </c>
      <c r="E14" s="287">
        <v>427</v>
      </c>
    </row>
    <row r="16" ht="12.75">
      <c r="A16" t="s">
        <v>1402</v>
      </c>
    </row>
    <row r="18" spans="1:5" ht="12.75" customHeight="1">
      <c r="A18" s="559" t="s">
        <v>1403</v>
      </c>
      <c r="B18" s="559"/>
      <c r="C18" s="559"/>
      <c r="D18" s="559"/>
      <c r="E18" s="559"/>
    </row>
    <row r="19" spans="1:5" ht="12.75">
      <c r="A19" s="559"/>
      <c r="B19" s="559"/>
      <c r="C19" s="559"/>
      <c r="D19" s="559"/>
      <c r="E19" s="559"/>
    </row>
    <row r="20" spans="1:5" ht="12.75">
      <c r="A20" s="559"/>
      <c r="B20" s="559"/>
      <c r="C20" s="559"/>
      <c r="D20" s="559"/>
      <c r="E20" s="559"/>
    </row>
    <row r="21" ht="12.75">
      <c r="A21" t="s">
        <v>1404</v>
      </c>
    </row>
  </sheetData>
  <sheetProtection/>
  <mergeCells count="6">
    <mergeCell ref="E2:E3"/>
    <mergeCell ref="A18:E20"/>
    <mergeCell ref="B2:B3"/>
    <mergeCell ref="A2:A3"/>
    <mergeCell ref="C2:C3"/>
    <mergeCell ref="D2:D3"/>
  </mergeCells>
  <printOptions/>
  <pageMargins left="2.0078740157480315" right="0.7874015748031497" top="0.984251968503937" bottom="0.2755905511811024" header="0.5118110236220472" footer="0.2755905511811024"/>
  <pageSetup horizontalDpi="600" verticalDpi="600" orientation="landscape" paperSize="9" r:id="rId1"/>
  <headerFooter alignWithMargins="0">
    <oddHeader>&amp;LAdatok ezer Forintban&amp;CAz Önkormányzat által adott közvetett támogatások/kedvezmények kimutatása&amp;R11. számú 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6.875" style="1" bestFit="1" customWidth="1"/>
    <col min="2" max="3" width="11.625" style="11" bestFit="1" customWidth="1"/>
    <col min="4" max="4" width="9.125" style="163" customWidth="1"/>
    <col min="5" max="16384" width="9.125" style="1" customWidth="1"/>
  </cols>
  <sheetData>
    <row r="1" spans="1:4" ht="12.75">
      <c r="A1" s="356" t="s">
        <v>1502</v>
      </c>
      <c r="B1" s="366" t="s">
        <v>6</v>
      </c>
      <c r="C1" s="401"/>
      <c r="D1" s="561" t="s">
        <v>7</v>
      </c>
    </row>
    <row r="2" spans="1:4" ht="12.75">
      <c r="A2" s="353"/>
      <c r="B2" s="526"/>
      <c r="C2" s="528"/>
      <c r="D2" s="562"/>
    </row>
    <row r="3" spans="1:4" ht="12.75">
      <c r="A3" s="520"/>
      <c r="B3" s="404" t="s">
        <v>8</v>
      </c>
      <c r="C3" s="401" t="s">
        <v>9</v>
      </c>
      <c r="D3" s="562"/>
    </row>
    <row r="4" spans="1:4" ht="13.5" thickBot="1">
      <c r="A4" s="560"/>
      <c r="B4" s="406"/>
      <c r="C4" s="403"/>
      <c r="D4" s="563"/>
    </row>
    <row r="5" spans="1:4" ht="13.5" thickTop="1">
      <c r="A5" s="165"/>
      <c r="B5" s="68"/>
      <c r="C5" s="66"/>
      <c r="D5" s="164"/>
    </row>
    <row r="6" spans="1:4" ht="12.75">
      <c r="A6" s="93" t="s">
        <v>4</v>
      </c>
      <c r="B6" s="68">
        <v>3410</v>
      </c>
      <c r="C6" s="66">
        <v>3600</v>
      </c>
      <c r="D6" s="164">
        <f aca="true" t="shared" si="0" ref="D6:D14">C6/B6</f>
        <v>1.0557184750733137</v>
      </c>
    </row>
    <row r="7" spans="1:4" ht="12.75">
      <c r="A7" s="93" t="s">
        <v>969</v>
      </c>
      <c r="B7" s="68">
        <v>1384</v>
      </c>
      <c r="C7" s="66">
        <v>1096</v>
      </c>
      <c r="D7" s="164">
        <f t="shared" si="0"/>
        <v>0.791907514450867</v>
      </c>
    </row>
    <row r="8" spans="1:4" ht="12.75">
      <c r="A8" s="93" t="s">
        <v>914</v>
      </c>
      <c r="B8" s="68">
        <v>19</v>
      </c>
      <c r="C8" s="66">
        <v>19</v>
      </c>
      <c r="D8" s="164">
        <f t="shared" si="0"/>
        <v>1</v>
      </c>
    </row>
    <row r="9" spans="1:4" ht="12.75">
      <c r="A9" s="93" t="s">
        <v>970</v>
      </c>
      <c r="B9" s="68">
        <v>7121</v>
      </c>
      <c r="C9" s="66">
        <v>7388</v>
      </c>
      <c r="D9" s="164">
        <f t="shared" si="0"/>
        <v>1.0374947338856901</v>
      </c>
    </row>
    <row r="10" spans="1:4" ht="24">
      <c r="A10" s="162" t="s">
        <v>100</v>
      </c>
      <c r="B10" s="68">
        <v>2927</v>
      </c>
      <c r="C10" s="66">
        <v>3146</v>
      </c>
      <c r="D10" s="164">
        <f t="shared" si="0"/>
        <v>1.0748206354629313</v>
      </c>
    </row>
    <row r="11" spans="1:4" ht="12.75">
      <c r="A11" s="93" t="s">
        <v>971</v>
      </c>
      <c r="B11" s="68">
        <v>8401</v>
      </c>
      <c r="C11" s="66">
        <v>7994</v>
      </c>
      <c r="D11" s="164">
        <f t="shared" si="0"/>
        <v>0.9515533865016069</v>
      </c>
    </row>
    <row r="12" spans="1:4" ht="12.75">
      <c r="A12" s="93" t="s">
        <v>553</v>
      </c>
      <c r="B12" s="68">
        <v>2000</v>
      </c>
      <c r="C12" s="66">
        <v>1483</v>
      </c>
      <c r="D12" s="164">
        <f t="shared" si="0"/>
        <v>0.7415</v>
      </c>
    </row>
    <row r="13" spans="1:4" ht="12.75">
      <c r="A13" s="93" t="s">
        <v>972</v>
      </c>
      <c r="B13" s="68">
        <v>1119</v>
      </c>
      <c r="C13" s="66">
        <v>568</v>
      </c>
      <c r="D13" s="164">
        <f t="shared" si="0"/>
        <v>0.5075960679177838</v>
      </c>
    </row>
    <row r="14" spans="1:4" ht="12.75">
      <c r="A14" s="93" t="s">
        <v>973</v>
      </c>
      <c r="B14" s="68">
        <v>3780</v>
      </c>
      <c r="C14" s="66">
        <v>3980</v>
      </c>
      <c r="D14" s="164">
        <f t="shared" si="0"/>
        <v>1.052910052910053</v>
      </c>
    </row>
    <row r="15" spans="1:4" ht="12.75">
      <c r="A15" s="93" t="s">
        <v>974</v>
      </c>
      <c r="B15" s="68"/>
      <c r="C15" s="66"/>
      <c r="D15" s="164"/>
    </row>
    <row r="16" spans="1:4" ht="12.75">
      <c r="A16" s="93" t="s">
        <v>975</v>
      </c>
      <c r="B16" s="68">
        <v>7141</v>
      </c>
      <c r="C16" s="66">
        <v>7956</v>
      </c>
      <c r="D16" s="164">
        <f>C16/B16</f>
        <v>1.114129673715166</v>
      </c>
    </row>
    <row r="17" spans="1:4" ht="12.75">
      <c r="A17" s="93" t="s">
        <v>976</v>
      </c>
      <c r="B17" s="68">
        <v>9696</v>
      </c>
      <c r="C17" s="66">
        <v>6784</v>
      </c>
      <c r="D17" s="164">
        <f>C17/B17</f>
        <v>0.6996699669966997</v>
      </c>
    </row>
    <row r="18" spans="1:4" ht="12.75">
      <c r="A18" s="93" t="s">
        <v>979</v>
      </c>
      <c r="B18" s="68">
        <v>440</v>
      </c>
      <c r="C18" s="66">
        <v>345</v>
      </c>
      <c r="D18" s="164">
        <f>C18/B18</f>
        <v>0.7840909090909091</v>
      </c>
    </row>
    <row r="19" spans="1:4" ht="12.75">
      <c r="A19" s="93" t="s">
        <v>980</v>
      </c>
      <c r="B19" s="68">
        <v>26</v>
      </c>
      <c r="C19" s="66">
        <v>71</v>
      </c>
      <c r="D19" s="164">
        <f>C19/B19</f>
        <v>2.730769230769231</v>
      </c>
    </row>
    <row r="20" spans="1:4" ht="12.75">
      <c r="A20" s="93" t="s">
        <v>981</v>
      </c>
      <c r="B20" s="68">
        <v>425</v>
      </c>
      <c r="C20" s="66">
        <v>390</v>
      </c>
      <c r="D20" s="164">
        <f>C20/B20</f>
        <v>0.9176470588235294</v>
      </c>
    </row>
    <row r="21" spans="1:4" ht="12.75">
      <c r="A21" s="93" t="s">
        <v>982</v>
      </c>
      <c r="B21" s="68"/>
      <c r="C21" s="66"/>
      <c r="D21" s="164"/>
    </row>
    <row r="22" spans="1:4" ht="12.75">
      <c r="A22" s="93" t="s">
        <v>983</v>
      </c>
      <c r="B22" s="68">
        <v>1290</v>
      </c>
      <c r="C22" s="66">
        <v>2130</v>
      </c>
      <c r="D22" s="164">
        <f aca="true" t="shared" si="1" ref="D22:D29">C22/B22</f>
        <v>1.6511627906976745</v>
      </c>
    </row>
    <row r="23" spans="1:4" ht="12.75">
      <c r="A23" s="93" t="s">
        <v>984</v>
      </c>
      <c r="B23" s="68">
        <v>25</v>
      </c>
      <c r="C23" s="66"/>
      <c r="D23" s="164">
        <f t="shared" si="1"/>
        <v>0</v>
      </c>
    </row>
    <row r="24" spans="1:4" ht="12.75">
      <c r="A24" s="93" t="s">
        <v>985</v>
      </c>
      <c r="B24" s="68">
        <v>3125</v>
      </c>
      <c r="C24" s="66">
        <v>2775</v>
      </c>
      <c r="D24" s="164">
        <f t="shared" si="1"/>
        <v>0.888</v>
      </c>
    </row>
    <row r="25" spans="1:4" ht="12.75">
      <c r="A25" s="93" t="s">
        <v>986</v>
      </c>
      <c r="B25" s="68">
        <v>995</v>
      </c>
      <c r="C25" s="66">
        <v>1072</v>
      </c>
      <c r="D25" s="164">
        <f t="shared" si="1"/>
        <v>1.0773869346733669</v>
      </c>
    </row>
    <row r="26" spans="1:4" ht="12.75">
      <c r="A26" s="93" t="s">
        <v>1164</v>
      </c>
      <c r="B26" s="68">
        <v>172</v>
      </c>
      <c r="C26" s="66">
        <v>191</v>
      </c>
      <c r="D26" s="164">
        <f t="shared" si="1"/>
        <v>1.1104651162790697</v>
      </c>
    </row>
    <row r="27" spans="1:4" ht="12.75">
      <c r="A27" s="165" t="s">
        <v>987</v>
      </c>
      <c r="B27" s="68">
        <v>165</v>
      </c>
      <c r="C27" s="66">
        <v>165</v>
      </c>
      <c r="D27" s="164">
        <f t="shared" si="1"/>
        <v>1</v>
      </c>
    </row>
    <row r="28" spans="1:4" ht="12.75">
      <c r="A28" s="165" t="s">
        <v>988</v>
      </c>
      <c r="B28" s="68">
        <v>154</v>
      </c>
      <c r="C28" s="66">
        <v>0</v>
      </c>
      <c r="D28" s="164">
        <f t="shared" si="1"/>
        <v>0</v>
      </c>
    </row>
    <row r="29" spans="1:4" ht="12.75">
      <c r="A29" s="165" t="s">
        <v>989</v>
      </c>
      <c r="B29" s="68">
        <v>231</v>
      </c>
      <c r="C29" s="66">
        <v>216</v>
      </c>
      <c r="D29" s="164">
        <f t="shared" si="1"/>
        <v>0.935064935064935</v>
      </c>
    </row>
    <row r="30" spans="1:4" ht="12.75">
      <c r="A30" s="165" t="s">
        <v>12</v>
      </c>
      <c r="B30" s="68"/>
      <c r="C30" s="66">
        <v>135</v>
      </c>
      <c r="D30" s="164"/>
    </row>
    <row r="31" spans="1:4" ht="12.75">
      <c r="A31" s="165" t="s">
        <v>990</v>
      </c>
      <c r="B31" s="68">
        <v>75</v>
      </c>
      <c r="C31" s="66">
        <v>66</v>
      </c>
      <c r="D31" s="164">
        <f>C31/B31</f>
        <v>0.88</v>
      </c>
    </row>
    <row r="32" spans="1:4" ht="12.75">
      <c r="A32" s="165" t="s">
        <v>11</v>
      </c>
      <c r="B32" s="68">
        <v>27</v>
      </c>
      <c r="C32" s="66">
        <v>27</v>
      </c>
      <c r="D32" s="164">
        <f>C32/B32</f>
        <v>1</v>
      </c>
    </row>
    <row r="33" spans="1:4" ht="12.75">
      <c r="A33" s="165" t="s">
        <v>991</v>
      </c>
      <c r="B33" s="68">
        <v>111</v>
      </c>
      <c r="C33" s="66">
        <v>92</v>
      </c>
      <c r="D33" s="164">
        <f>C33/B33</f>
        <v>0.8288288288288288</v>
      </c>
    </row>
    <row r="34" spans="1:4" ht="12.75">
      <c r="A34" s="165" t="s">
        <v>188</v>
      </c>
      <c r="B34" s="68">
        <v>3839</v>
      </c>
      <c r="C34" s="66">
        <v>4238</v>
      </c>
      <c r="D34" s="164">
        <f>C34/B34</f>
        <v>1.1039333159676998</v>
      </c>
    </row>
    <row r="35" spans="1:4" ht="12.75">
      <c r="A35" s="165" t="s">
        <v>992</v>
      </c>
      <c r="B35" s="68">
        <v>14157</v>
      </c>
      <c r="C35" s="66">
        <v>14141</v>
      </c>
      <c r="D35" s="164">
        <f>C35/B35</f>
        <v>0.9988698170516352</v>
      </c>
    </row>
    <row r="36" spans="1:4" ht="12.75">
      <c r="A36" s="165" t="s">
        <v>995</v>
      </c>
      <c r="B36" s="68"/>
      <c r="C36" s="66">
        <v>451</v>
      </c>
      <c r="D36" s="164"/>
    </row>
    <row r="37" spans="1:4" ht="12.75">
      <c r="A37" s="165" t="s">
        <v>118</v>
      </c>
      <c r="B37" s="68"/>
      <c r="C37" s="66">
        <v>447</v>
      </c>
      <c r="D37" s="164"/>
    </row>
    <row r="38" spans="1:4" ht="12.75">
      <c r="A38" s="165" t="s">
        <v>993</v>
      </c>
      <c r="B38" s="68">
        <v>5050</v>
      </c>
      <c r="C38" s="66">
        <v>4901</v>
      </c>
      <c r="D38" s="164">
        <f>C38/B38</f>
        <v>0.9704950495049505</v>
      </c>
    </row>
    <row r="39" spans="1:4" ht="12.75">
      <c r="A39" s="165" t="s">
        <v>1052</v>
      </c>
      <c r="B39" s="68">
        <v>15529</v>
      </c>
      <c r="C39" s="66">
        <v>16384</v>
      </c>
      <c r="D39" s="164">
        <f>C39/B39</f>
        <v>1.0550582780604032</v>
      </c>
    </row>
    <row r="40" spans="1:4" ht="12.75">
      <c r="A40" s="165"/>
      <c r="B40" s="68"/>
      <c r="C40" s="66"/>
      <c r="D40" s="164"/>
    </row>
    <row r="41" spans="1:4" ht="12.75">
      <c r="A41" s="165"/>
      <c r="B41" s="68"/>
      <c r="C41" s="66"/>
      <c r="D41" s="164"/>
    </row>
    <row r="42" spans="1:4" s="62" customFormat="1" ht="12.75">
      <c r="A42" s="166" t="s">
        <v>994</v>
      </c>
      <c r="B42" s="72">
        <f>SUM(B6:B41)</f>
        <v>92834</v>
      </c>
      <c r="C42" s="73">
        <f>SUM(C6:C41)</f>
        <v>92251</v>
      </c>
      <c r="D42" s="164">
        <f>C42/B42</f>
        <v>0.9937199732856496</v>
      </c>
    </row>
    <row r="43" spans="1:4" ht="12.75">
      <c r="A43" s="165"/>
      <c r="B43" s="68"/>
      <c r="C43" s="66"/>
      <c r="D43" s="164"/>
    </row>
    <row r="44" spans="1:4" ht="12.75">
      <c r="A44" s="167"/>
      <c r="B44" s="70"/>
      <c r="C44" s="67"/>
      <c r="D44" s="168"/>
    </row>
  </sheetData>
  <sheetProtection/>
  <mergeCells count="5">
    <mergeCell ref="A1:A4"/>
    <mergeCell ref="B1:C2"/>
    <mergeCell ref="D1:D4"/>
    <mergeCell ref="B3:B4"/>
    <mergeCell ref="C3:C4"/>
  </mergeCells>
  <printOptions horizontalCentered="1"/>
  <pageMargins left="0.7874015748031497" right="0.7874015748031497" top="1.86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dőlt"&amp;12KIMUTATÁS TISZAGYULAHÁZA KÖZSÉG 
2004-2005.ÉVI KÖZPONTI FORRÁSBÓL SZÁRMAZÓ BEVÉTELEIRŐL&amp;R&amp;"Arial,Dőlt"&amp;8I.számú melléklet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22" sqref="A22"/>
    </sheetView>
  </sheetViews>
  <sheetFormatPr defaultColWidth="10.375" defaultRowHeight="12.75"/>
  <cols>
    <col min="1" max="1" width="7.00390625" style="37" customWidth="1"/>
    <col min="2" max="3" width="10.375" style="55" customWidth="1"/>
    <col min="4" max="5" width="11.75390625" style="55" customWidth="1"/>
    <col min="6" max="6" width="12.25390625" style="9" customWidth="1"/>
    <col min="7" max="8" width="10.375" style="55" customWidth="1"/>
    <col min="9" max="10" width="11.875" style="55" bestFit="1" customWidth="1"/>
    <col min="11" max="11" width="14.875" style="243" bestFit="1" customWidth="1"/>
    <col min="12" max="12" width="13.75390625" style="55" bestFit="1" customWidth="1"/>
    <col min="13" max="16384" width="10.375" style="37" customWidth="1"/>
  </cols>
  <sheetData>
    <row r="1" spans="1:11" ht="12">
      <c r="A1" s="564" t="s">
        <v>1249</v>
      </c>
      <c r="B1" s="565" t="s">
        <v>1609</v>
      </c>
      <c r="C1" s="565" t="s">
        <v>1610</v>
      </c>
      <c r="D1" s="566" t="s">
        <v>124</v>
      </c>
      <c r="E1" s="566" t="s">
        <v>124</v>
      </c>
      <c r="F1" s="569" t="s">
        <v>1250</v>
      </c>
      <c r="G1" s="565" t="s">
        <v>1609</v>
      </c>
      <c r="H1" s="565" t="s">
        <v>1610</v>
      </c>
      <c r="I1" s="566" t="s">
        <v>124</v>
      </c>
      <c r="J1" s="566" t="s">
        <v>124</v>
      </c>
      <c r="K1" s="568" t="s">
        <v>1251</v>
      </c>
    </row>
    <row r="2" spans="1:12" ht="12">
      <c r="A2" s="564"/>
      <c r="B2" s="564"/>
      <c r="C2" s="564"/>
      <c r="D2" s="567"/>
      <c r="E2" s="567"/>
      <c r="F2" s="569"/>
      <c r="G2" s="565"/>
      <c r="H2" s="565"/>
      <c r="I2" s="566"/>
      <c r="J2" s="566"/>
      <c r="K2" s="568"/>
      <c r="L2" s="55" t="s">
        <v>1252</v>
      </c>
    </row>
    <row r="3" spans="1:11" ht="12">
      <c r="A3" s="564"/>
      <c r="B3" s="565"/>
      <c r="C3" s="565"/>
      <c r="D3" s="566"/>
      <c r="E3" s="566"/>
      <c r="F3" s="569"/>
      <c r="G3" s="565"/>
      <c r="H3" s="565"/>
      <c r="I3" s="566"/>
      <c r="J3" s="566"/>
      <c r="K3" s="568"/>
    </row>
    <row r="5" spans="1:12" ht="12">
      <c r="A5" s="37">
        <v>511212</v>
      </c>
      <c r="B5" s="55">
        <v>443300</v>
      </c>
      <c r="C5" s="55">
        <v>734499</v>
      </c>
      <c r="D5" s="55">
        <v>1366193</v>
      </c>
      <c r="E5" s="55">
        <v>1398226</v>
      </c>
      <c r="F5" s="247">
        <f>SUM(B5:E5)</f>
        <v>3942218</v>
      </c>
      <c r="G5" s="55">
        <v>530682</v>
      </c>
      <c r="H5" s="55">
        <v>824299</v>
      </c>
      <c r="I5" s="55">
        <v>1366193</v>
      </c>
      <c r="J5" s="55">
        <v>1403027</v>
      </c>
      <c r="K5" s="243">
        <f>SUM(G5:J5)</f>
        <v>4124201</v>
      </c>
      <c r="L5" s="55">
        <f>F5+K5</f>
        <v>8066419</v>
      </c>
    </row>
    <row r="6" spans="1:12" ht="12">
      <c r="A6" s="37">
        <v>511242</v>
      </c>
      <c r="B6" s="55">
        <v>26656</v>
      </c>
      <c r="C6" s="55">
        <v>30184</v>
      </c>
      <c r="D6" s="55">
        <v>83300</v>
      </c>
      <c r="E6" s="55">
        <v>146431</v>
      </c>
      <c r="F6" s="247">
        <f aca="true" t="shared" si="0" ref="F6:F19">SUM(B6:E6)</f>
        <v>286571</v>
      </c>
      <c r="K6" s="243">
        <f aca="true" t="shared" si="1" ref="K6:K19">SUM(G6:J6)</f>
        <v>0</v>
      </c>
      <c r="L6" s="55">
        <f aca="true" t="shared" si="2" ref="L6:L19">F6+K6</f>
        <v>286571</v>
      </c>
    </row>
    <row r="7" spans="1:12" ht="12">
      <c r="A7" s="37">
        <v>511252</v>
      </c>
      <c r="E7" s="55">
        <v>1400</v>
      </c>
      <c r="F7" s="247">
        <f t="shared" si="0"/>
        <v>1400</v>
      </c>
      <c r="J7" s="55">
        <v>1400</v>
      </c>
      <c r="K7" s="243">
        <f t="shared" si="1"/>
        <v>1400</v>
      </c>
      <c r="L7" s="55">
        <f t="shared" si="2"/>
        <v>2800</v>
      </c>
    </row>
    <row r="8" spans="1:12" ht="12">
      <c r="A8" s="37">
        <v>512232</v>
      </c>
      <c r="D8" s="55">
        <v>116980</v>
      </c>
      <c r="E8" s="55">
        <v>164073</v>
      </c>
      <c r="F8" s="247">
        <f t="shared" si="0"/>
        <v>281053</v>
      </c>
      <c r="K8" s="243">
        <f t="shared" si="1"/>
        <v>0</v>
      </c>
      <c r="L8" s="55">
        <f t="shared" si="2"/>
        <v>281053</v>
      </c>
    </row>
    <row r="9" spans="1:12" ht="12">
      <c r="A9" s="37">
        <v>512242</v>
      </c>
      <c r="D9" s="55">
        <v>16400</v>
      </c>
      <c r="E9" s="55">
        <v>37275</v>
      </c>
      <c r="F9" s="247">
        <f t="shared" si="0"/>
        <v>53675</v>
      </c>
      <c r="G9" s="55">
        <v>28650</v>
      </c>
      <c r="H9" s="55">
        <v>49784</v>
      </c>
      <c r="I9" s="55">
        <v>83300</v>
      </c>
      <c r="J9" s="55">
        <v>146608</v>
      </c>
      <c r="K9" s="243">
        <f t="shared" si="1"/>
        <v>308342</v>
      </c>
      <c r="L9" s="55">
        <f t="shared" si="2"/>
        <v>362017</v>
      </c>
    </row>
    <row r="10" spans="1:12" ht="12">
      <c r="A10" s="37">
        <v>512292</v>
      </c>
      <c r="D10" s="55">
        <v>5478</v>
      </c>
      <c r="E10" s="55">
        <v>5751</v>
      </c>
      <c r="F10" s="247">
        <f t="shared" si="0"/>
        <v>11229</v>
      </c>
      <c r="I10" s="55">
        <v>23012</v>
      </c>
      <c r="J10" s="55">
        <v>24154</v>
      </c>
      <c r="K10" s="243">
        <f t="shared" si="1"/>
        <v>47166</v>
      </c>
      <c r="L10" s="55">
        <f t="shared" si="2"/>
        <v>58395</v>
      </c>
    </row>
    <row r="11" spans="1:12" ht="12">
      <c r="A11" s="37">
        <v>513292</v>
      </c>
      <c r="E11" s="55">
        <v>28260</v>
      </c>
      <c r="F11" s="247">
        <f t="shared" si="0"/>
        <v>28260</v>
      </c>
      <c r="K11" s="243">
        <f t="shared" si="1"/>
        <v>0</v>
      </c>
      <c r="L11" s="55">
        <f t="shared" si="2"/>
        <v>28260</v>
      </c>
    </row>
    <row r="12" spans="1:12" ht="12">
      <c r="A12" s="37">
        <v>513222</v>
      </c>
      <c r="F12" s="247"/>
      <c r="I12" s="55">
        <v>505500</v>
      </c>
      <c r="K12" s="243">
        <f t="shared" si="1"/>
        <v>505500</v>
      </c>
      <c r="L12" s="55">
        <f t="shared" si="2"/>
        <v>505500</v>
      </c>
    </row>
    <row r="13" spans="1:12" ht="12">
      <c r="A13" s="37">
        <v>514232</v>
      </c>
      <c r="B13" s="55">
        <v>3600</v>
      </c>
      <c r="E13" s="55">
        <v>45088</v>
      </c>
      <c r="F13" s="247">
        <f t="shared" si="0"/>
        <v>48688</v>
      </c>
      <c r="K13" s="243">
        <f t="shared" si="1"/>
        <v>0</v>
      </c>
      <c r="L13" s="55">
        <f t="shared" si="2"/>
        <v>48688</v>
      </c>
    </row>
    <row r="14" spans="1:12" ht="12">
      <c r="A14" s="37">
        <v>514292</v>
      </c>
      <c r="F14" s="247"/>
      <c r="G14" s="55">
        <v>28000</v>
      </c>
      <c r="H14" s="55">
        <v>42000</v>
      </c>
      <c r="I14" s="55">
        <v>98000</v>
      </c>
      <c r="J14" s="55">
        <v>154000</v>
      </c>
      <c r="K14" s="243">
        <f t="shared" si="1"/>
        <v>322000</v>
      </c>
      <c r="L14" s="55">
        <f t="shared" si="2"/>
        <v>322000</v>
      </c>
    </row>
    <row r="15" spans="1:12" ht="12">
      <c r="A15" s="37">
        <v>52221</v>
      </c>
      <c r="F15" s="247"/>
      <c r="G15" s="55">
        <v>24000</v>
      </c>
      <c r="K15" s="243">
        <f t="shared" si="1"/>
        <v>24000</v>
      </c>
      <c r="L15" s="55">
        <f t="shared" si="2"/>
        <v>24000</v>
      </c>
    </row>
    <row r="16" spans="1:12" ht="12">
      <c r="A16" s="37">
        <v>522272</v>
      </c>
      <c r="E16" s="55">
        <v>516549</v>
      </c>
      <c r="F16" s="247">
        <f t="shared" si="0"/>
        <v>516549</v>
      </c>
      <c r="J16" s="55">
        <v>549565</v>
      </c>
      <c r="K16" s="243">
        <f t="shared" si="1"/>
        <v>549565</v>
      </c>
      <c r="L16" s="55">
        <f t="shared" si="2"/>
        <v>1066114</v>
      </c>
    </row>
    <row r="17" spans="1:12" ht="12">
      <c r="A17" s="37">
        <v>53122</v>
      </c>
      <c r="B17" s="55">
        <v>136287</v>
      </c>
      <c r="C17" s="55">
        <v>221759</v>
      </c>
      <c r="D17" s="55">
        <v>460616</v>
      </c>
      <c r="E17" s="55">
        <v>666411</v>
      </c>
      <c r="F17" s="247">
        <f t="shared" si="0"/>
        <v>1485073</v>
      </c>
      <c r="G17" s="55">
        <v>162206</v>
      </c>
      <c r="H17" s="55">
        <v>253485</v>
      </c>
      <c r="I17" s="55">
        <v>573615</v>
      </c>
      <c r="J17" s="55">
        <v>616180</v>
      </c>
      <c r="K17" s="243">
        <f t="shared" si="1"/>
        <v>1605486</v>
      </c>
      <c r="L17" s="55">
        <f t="shared" si="2"/>
        <v>3090559</v>
      </c>
    </row>
    <row r="18" spans="1:12" ht="12">
      <c r="A18" s="37">
        <v>5322</v>
      </c>
      <c r="B18" s="55">
        <v>14098</v>
      </c>
      <c r="C18" s="55">
        <v>22942</v>
      </c>
      <c r="D18" s="55">
        <v>47650</v>
      </c>
      <c r="E18" s="55">
        <v>68941</v>
      </c>
      <c r="F18" s="247">
        <f t="shared" si="0"/>
        <v>153631</v>
      </c>
      <c r="G18" s="55">
        <v>16779</v>
      </c>
      <c r="H18" s="55">
        <v>26224</v>
      </c>
      <c r="I18" s="55">
        <v>59339</v>
      </c>
      <c r="J18" s="55">
        <v>63741</v>
      </c>
      <c r="K18" s="243">
        <f t="shared" si="1"/>
        <v>166083</v>
      </c>
      <c r="L18" s="55">
        <f t="shared" si="2"/>
        <v>319714</v>
      </c>
    </row>
    <row r="19" spans="1:12" ht="12">
      <c r="A19" s="37">
        <v>5332</v>
      </c>
      <c r="B19" s="55">
        <v>5850</v>
      </c>
      <c r="C19" s="55">
        <v>9750</v>
      </c>
      <c r="D19" s="55">
        <v>15600</v>
      </c>
      <c r="E19" s="55">
        <v>21450</v>
      </c>
      <c r="F19" s="247">
        <f t="shared" si="0"/>
        <v>52650</v>
      </c>
      <c r="G19" s="55">
        <v>9329</v>
      </c>
      <c r="H19" s="55">
        <v>11700</v>
      </c>
      <c r="I19" s="55">
        <v>15600</v>
      </c>
      <c r="J19" s="55">
        <v>21450</v>
      </c>
      <c r="K19" s="243">
        <f t="shared" si="1"/>
        <v>58079</v>
      </c>
      <c r="L19" s="55">
        <f t="shared" si="2"/>
        <v>110729</v>
      </c>
    </row>
    <row r="20" spans="1:12" ht="12">
      <c r="A20" s="37" t="s">
        <v>1253</v>
      </c>
      <c r="L20" s="55">
        <f>SUM(L5:L19)</f>
        <v>14572819</v>
      </c>
    </row>
    <row r="21" spans="1:12" ht="12">
      <c r="A21" s="37" t="s">
        <v>1255</v>
      </c>
      <c r="L21" s="55">
        <v>-10643000</v>
      </c>
    </row>
    <row r="22" spans="1:12" ht="12">
      <c r="A22" s="37" t="s">
        <v>1254</v>
      </c>
      <c r="L22" s="226">
        <f>SUM(L20:L21)</f>
        <v>3929819</v>
      </c>
    </row>
  </sheetData>
  <sheetProtection/>
  <mergeCells count="11">
    <mergeCell ref="K1:K3"/>
    <mergeCell ref="E1:E3"/>
    <mergeCell ref="F1:F3"/>
    <mergeCell ref="G1:G3"/>
    <mergeCell ref="H1:H3"/>
    <mergeCell ref="I1:I3"/>
    <mergeCell ref="J1:J3"/>
    <mergeCell ref="A1:A3"/>
    <mergeCell ref="B1:B3"/>
    <mergeCell ref="C1:C3"/>
    <mergeCell ref="D1:D3"/>
  </mergeCells>
  <printOptions/>
  <pageMargins left="0.47" right="0.42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22.875" style="1" bestFit="1" customWidth="1"/>
    <col min="2" max="2" width="11.625" style="11" customWidth="1"/>
    <col min="3" max="3" width="10.25390625" style="11" customWidth="1"/>
    <col min="4" max="4" width="12.75390625" style="11" customWidth="1"/>
    <col min="5" max="5" width="9.875" style="11" customWidth="1"/>
    <col min="6" max="6" width="12.75390625" style="11" customWidth="1"/>
    <col min="7" max="7" width="10.00390625" style="1" bestFit="1" customWidth="1"/>
    <col min="8" max="16384" width="9.125" style="1" customWidth="1"/>
  </cols>
  <sheetData>
    <row r="1" spans="1:6" ht="12.75">
      <c r="A1" s="576" t="s">
        <v>65</v>
      </c>
      <c r="B1" s="570" t="s">
        <v>974</v>
      </c>
      <c r="C1" s="570" t="s">
        <v>973</v>
      </c>
      <c r="D1" s="570" t="s">
        <v>1076</v>
      </c>
      <c r="E1" s="570" t="s">
        <v>1077</v>
      </c>
      <c r="F1" s="573" t="s">
        <v>1078</v>
      </c>
    </row>
    <row r="2" spans="1:6" ht="12.75">
      <c r="A2" s="577"/>
      <c r="B2" s="571"/>
      <c r="C2" s="571"/>
      <c r="D2" s="571"/>
      <c r="E2" s="571"/>
      <c r="F2" s="574"/>
    </row>
    <row r="3" spans="1:6" ht="13.5" thickBot="1">
      <c r="A3" s="578"/>
      <c r="B3" s="572"/>
      <c r="C3" s="572"/>
      <c r="D3" s="572"/>
      <c r="E3" s="572"/>
      <c r="F3" s="575"/>
    </row>
    <row r="4" spans="1:6" ht="13.5" thickTop="1">
      <c r="A4" s="82"/>
      <c r="B4" s="68"/>
      <c r="C4" s="68"/>
      <c r="D4" s="68"/>
      <c r="E4" s="68"/>
      <c r="F4" s="66"/>
    </row>
    <row r="5" spans="1:6" ht="12.75">
      <c r="A5" s="83" t="s">
        <v>1482</v>
      </c>
      <c r="B5" s="68"/>
      <c r="C5" s="68"/>
      <c r="D5" s="68"/>
      <c r="E5" s="68"/>
      <c r="F5" s="66"/>
    </row>
    <row r="6" spans="1:7" ht="12.75">
      <c r="A6" s="82" t="s">
        <v>66</v>
      </c>
      <c r="B6" s="68">
        <v>17531</v>
      </c>
      <c r="C6" s="68">
        <v>5081</v>
      </c>
      <c r="D6" s="68">
        <v>2130</v>
      </c>
      <c r="E6" s="68"/>
      <c r="F6" s="66">
        <v>1072</v>
      </c>
      <c r="G6" s="75">
        <f aca="true" t="shared" si="0" ref="G6:G20">SUM(B6:F6)</f>
        <v>25814</v>
      </c>
    </row>
    <row r="7" spans="1:7" ht="12.75">
      <c r="A7" s="82" t="s">
        <v>67</v>
      </c>
      <c r="B7" s="68">
        <v>0</v>
      </c>
      <c r="C7" s="68">
        <v>0</v>
      </c>
      <c r="D7" s="68">
        <v>4965</v>
      </c>
      <c r="E7" s="68"/>
      <c r="F7" s="66">
        <v>50</v>
      </c>
      <c r="G7" s="75">
        <f t="shared" si="0"/>
        <v>5015</v>
      </c>
    </row>
    <row r="8" spans="1:7" ht="12.75">
      <c r="A8" s="82" t="s">
        <v>68</v>
      </c>
      <c r="B8" s="68">
        <v>0</v>
      </c>
      <c r="C8" s="68">
        <v>0</v>
      </c>
      <c r="D8" s="68">
        <v>0</v>
      </c>
      <c r="E8" s="68">
        <v>2023</v>
      </c>
      <c r="F8" s="66"/>
      <c r="G8" s="75">
        <f t="shared" si="0"/>
        <v>2023</v>
      </c>
    </row>
    <row r="9" spans="1:7" ht="12.75">
      <c r="A9" s="82"/>
      <c r="B9" s="68"/>
      <c r="C9" s="68"/>
      <c r="D9" s="68"/>
      <c r="E9" s="68"/>
      <c r="F9" s="66"/>
      <c r="G9" s="75">
        <f t="shared" si="0"/>
        <v>0</v>
      </c>
    </row>
    <row r="10" spans="1:7" s="62" customFormat="1" ht="12.75">
      <c r="A10" s="83" t="s">
        <v>69</v>
      </c>
      <c r="B10" s="72">
        <f>SUM(B6:B9)</f>
        <v>17531</v>
      </c>
      <c r="C10" s="72">
        <f>SUM(C6:C9)</f>
        <v>5081</v>
      </c>
      <c r="D10" s="72">
        <f>SUM(D6:D9)</f>
        <v>7095</v>
      </c>
      <c r="E10" s="72">
        <f>SUM(E6:E9)</f>
        <v>2023</v>
      </c>
      <c r="F10" s="73">
        <f>SUM(F6:F9)</f>
        <v>1122</v>
      </c>
      <c r="G10" s="75">
        <f t="shared" si="0"/>
        <v>32852</v>
      </c>
    </row>
    <row r="11" spans="1:7" ht="12.75">
      <c r="A11" s="82"/>
      <c r="B11" s="68"/>
      <c r="C11" s="68"/>
      <c r="D11" s="68"/>
      <c r="E11" s="68"/>
      <c r="F11" s="66"/>
      <c r="G11" s="75">
        <f t="shared" si="0"/>
        <v>0</v>
      </c>
    </row>
    <row r="12" spans="1:7" ht="12.75">
      <c r="A12" s="83" t="s">
        <v>70</v>
      </c>
      <c r="B12" s="68"/>
      <c r="C12" s="68"/>
      <c r="D12" s="68"/>
      <c r="E12" s="68"/>
      <c r="F12" s="66"/>
      <c r="G12" s="75">
        <f t="shared" si="0"/>
        <v>0</v>
      </c>
    </row>
    <row r="13" spans="1:7" ht="12.75">
      <c r="A13" s="82" t="s">
        <v>257</v>
      </c>
      <c r="B13" s="68">
        <v>23976</v>
      </c>
      <c r="C13" s="68">
        <v>6448</v>
      </c>
      <c r="D13" s="68">
        <v>5026</v>
      </c>
      <c r="E13" s="68">
        <v>1593</v>
      </c>
      <c r="F13" s="66">
        <v>1292</v>
      </c>
      <c r="G13" s="75">
        <f t="shared" si="0"/>
        <v>38335</v>
      </c>
    </row>
    <row r="14" spans="1:7" ht="12.75">
      <c r="A14" s="82" t="s">
        <v>71</v>
      </c>
      <c r="B14" s="68">
        <v>7692</v>
      </c>
      <c r="C14" s="68">
        <v>2054</v>
      </c>
      <c r="D14" s="68">
        <v>1640</v>
      </c>
      <c r="E14" s="68">
        <v>488</v>
      </c>
      <c r="F14" s="66">
        <v>415</v>
      </c>
      <c r="G14" s="75">
        <f t="shared" si="0"/>
        <v>12289</v>
      </c>
    </row>
    <row r="15" spans="1:7" ht="12.75">
      <c r="A15" s="82" t="s">
        <v>1480</v>
      </c>
      <c r="B15" s="68">
        <v>5750</v>
      </c>
      <c r="C15" s="68">
        <v>2434</v>
      </c>
      <c r="D15" s="68">
        <v>5366</v>
      </c>
      <c r="E15" s="68">
        <v>790</v>
      </c>
      <c r="F15" s="66">
        <v>909</v>
      </c>
      <c r="G15" s="75">
        <f t="shared" si="0"/>
        <v>15249</v>
      </c>
    </row>
    <row r="16" spans="1:7" ht="12.75">
      <c r="A16" s="82" t="s">
        <v>72</v>
      </c>
      <c r="B16" s="68">
        <v>0</v>
      </c>
      <c r="C16" s="68"/>
      <c r="D16" s="68"/>
      <c r="E16" s="68">
        <v>600</v>
      </c>
      <c r="F16" s="66">
        <v>80</v>
      </c>
      <c r="G16" s="75">
        <f t="shared" si="0"/>
        <v>680</v>
      </c>
    </row>
    <row r="17" spans="1:7" ht="12.75">
      <c r="A17" s="82"/>
      <c r="B17" s="68"/>
      <c r="C17" s="68"/>
      <c r="D17" s="68"/>
      <c r="E17" s="68"/>
      <c r="F17" s="66"/>
      <c r="G17" s="75">
        <f t="shared" si="0"/>
        <v>0</v>
      </c>
    </row>
    <row r="18" spans="1:7" s="62" customFormat="1" ht="12.75">
      <c r="A18" s="83" t="s">
        <v>489</v>
      </c>
      <c r="B18" s="72">
        <f>SUM(B13:B17)</f>
        <v>37418</v>
      </c>
      <c r="C18" s="72">
        <f>SUM(C13:C17)</f>
        <v>10936</v>
      </c>
      <c r="D18" s="72">
        <f>SUM(D13:D17)</f>
        <v>12032</v>
      </c>
      <c r="E18" s="72">
        <f>SUM(E13:E17)</f>
        <v>3471</v>
      </c>
      <c r="F18" s="73">
        <f>SUM(F13:F17)</f>
        <v>2696</v>
      </c>
      <c r="G18" s="75">
        <f t="shared" si="0"/>
        <v>66553</v>
      </c>
    </row>
    <row r="19" spans="1:7" ht="12.75">
      <c r="A19" s="82"/>
      <c r="B19" s="68"/>
      <c r="C19" s="68"/>
      <c r="D19" s="68"/>
      <c r="E19" s="68"/>
      <c r="F19" s="66"/>
      <c r="G19" s="75">
        <f t="shared" si="0"/>
        <v>0</v>
      </c>
    </row>
    <row r="20" spans="1:7" s="12" customFormat="1" ht="12.75">
      <c r="A20" s="170" t="s">
        <v>1075</v>
      </c>
      <c r="B20" s="169">
        <f>B10-B18</f>
        <v>-19887</v>
      </c>
      <c r="C20" s="169">
        <f>C10-C18</f>
        <v>-5855</v>
      </c>
      <c r="D20" s="169">
        <f>D10-D18</f>
        <v>-4937</v>
      </c>
      <c r="E20" s="169">
        <f>E10-E18</f>
        <v>-1448</v>
      </c>
      <c r="F20" s="171">
        <f>F10-F18</f>
        <v>-1574</v>
      </c>
      <c r="G20" s="75">
        <f t="shared" si="0"/>
        <v>-33701</v>
      </c>
    </row>
    <row r="21" spans="1:6" ht="12.75">
      <c r="A21" s="82"/>
      <c r="B21" s="68"/>
      <c r="C21" s="68"/>
      <c r="D21" s="68"/>
      <c r="E21" s="68"/>
      <c r="F21" s="66"/>
    </row>
    <row r="22" spans="1:6" ht="12.75">
      <c r="A22" s="84"/>
      <c r="B22" s="70"/>
      <c r="C22" s="70"/>
      <c r="D22" s="70"/>
      <c r="E22" s="70"/>
      <c r="F22" s="67"/>
    </row>
  </sheetData>
  <sheetProtection/>
  <mergeCells count="6">
    <mergeCell ref="E1:E3"/>
    <mergeCell ref="F1:F3"/>
    <mergeCell ref="B1:B3"/>
    <mergeCell ref="A1:A3"/>
    <mergeCell ref="C1:C3"/>
    <mergeCell ref="D1:D3"/>
  </mergeCells>
  <printOptions horizontalCentered="1"/>
  <pageMargins left="0.7874015748031497" right="0.7874015748031497" top="1.535433070866142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dőlt"&amp;12KIMUTATÁS NÉHÁNY KIEMELT FELADAT
TERVEZETT  BEVÉTELÉRŐL  ÉS KIADÁSÁRÓL&amp;R&amp;"Arial,Dőlt"&amp;8II.számú melléklet</oddHead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150"/>
  <sheetViews>
    <sheetView zoomScalePageLayoutView="0" workbookViewId="0" topLeftCell="A58">
      <selection activeCell="C44" sqref="C44"/>
    </sheetView>
  </sheetViews>
  <sheetFormatPr defaultColWidth="9.00390625" defaultRowHeight="12.75"/>
  <cols>
    <col min="1" max="1" width="39.75390625" style="37" customWidth="1"/>
    <col min="2" max="4" width="14.75390625" style="37" customWidth="1"/>
    <col min="5" max="16384" width="9.125" style="37" customWidth="1"/>
  </cols>
  <sheetData>
    <row r="2" ht="12">
      <c r="A2" s="145" t="s">
        <v>497</v>
      </c>
    </row>
    <row r="4" spans="1:4" ht="40.5" customHeight="1">
      <c r="A4" s="363" t="s">
        <v>498</v>
      </c>
      <c r="B4" s="363"/>
      <c r="C4" s="363"/>
      <c r="D4" s="363"/>
    </row>
    <row r="6" ht="12">
      <c r="A6" s="37" t="s">
        <v>760</v>
      </c>
    </row>
    <row r="7" ht="12">
      <c r="A7" s="37" t="s">
        <v>761</v>
      </c>
    </row>
    <row r="9" ht="12">
      <c r="A9" s="27" t="s">
        <v>1612</v>
      </c>
    </row>
    <row r="10" ht="12">
      <c r="A10" s="61" t="s">
        <v>257</v>
      </c>
    </row>
    <row r="11" ht="12">
      <c r="A11" s="9" t="s">
        <v>1512</v>
      </c>
    </row>
    <row r="12" spans="1:4" ht="12">
      <c r="A12" s="37" t="s">
        <v>763</v>
      </c>
      <c r="B12" s="248" t="s">
        <v>762</v>
      </c>
      <c r="C12" s="248" t="s">
        <v>1301</v>
      </c>
      <c r="D12" s="55"/>
    </row>
    <row r="13" spans="1:4" ht="12">
      <c r="A13" s="37" t="s">
        <v>764</v>
      </c>
      <c r="B13" s="55">
        <f>kab!$I$11</f>
        <v>83700</v>
      </c>
      <c r="C13" s="55">
        <f>B13*1</f>
        <v>83700</v>
      </c>
      <c r="D13" s="55"/>
    </row>
    <row r="14" spans="1:4" ht="12">
      <c r="A14" s="37" t="s">
        <v>996</v>
      </c>
      <c r="B14" s="55">
        <f>kab!$H$11</f>
        <v>87800</v>
      </c>
      <c r="C14" s="55">
        <f>B14*11</f>
        <v>965800</v>
      </c>
      <c r="D14" s="55"/>
    </row>
    <row r="15" spans="1:4" ht="12">
      <c r="A15" s="37" t="s">
        <v>1055</v>
      </c>
      <c r="B15" s="55">
        <f>kab!$H$11</f>
        <v>87800</v>
      </c>
      <c r="C15" s="55">
        <f>B15*1</f>
        <v>87800</v>
      </c>
      <c r="D15" s="55"/>
    </row>
    <row r="16" spans="1:4" ht="12">
      <c r="A16" s="37" t="s">
        <v>765</v>
      </c>
      <c r="B16" s="55"/>
      <c r="C16" s="55">
        <f>SUM(C13:C15)</f>
        <v>1137300</v>
      </c>
      <c r="D16" s="55">
        <f>ROUND(C16/1000,0)</f>
        <v>1137</v>
      </c>
    </row>
    <row r="17" spans="2:4" ht="12">
      <c r="B17" s="55"/>
      <c r="C17" s="55"/>
      <c r="D17" s="55"/>
    </row>
    <row r="18" spans="1:4" s="9" customFormat="1" ht="12">
      <c r="A18" s="9" t="s">
        <v>766</v>
      </c>
      <c r="B18" s="243"/>
      <c r="C18" s="280">
        <f>SUM(C16:C17)</f>
        <v>1137300</v>
      </c>
      <c r="D18" s="280">
        <f>SUM(D16:D17)</f>
        <v>1137</v>
      </c>
    </row>
    <row r="19" spans="2:4" ht="12">
      <c r="B19" s="55"/>
      <c r="C19" s="55"/>
      <c r="D19" s="55"/>
    </row>
    <row r="20" spans="1:4" ht="12">
      <c r="A20" s="9" t="s">
        <v>1303</v>
      </c>
      <c r="B20" s="55"/>
      <c r="C20" s="55"/>
      <c r="D20" s="55"/>
    </row>
    <row r="21" spans="1:4" ht="12">
      <c r="A21" s="37" t="s">
        <v>1305</v>
      </c>
      <c r="B21" s="55"/>
      <c r="C21" s="55"/>
      <c r="D21" s="55"/>
    </row>
    <row r="22" spans="1:4" ht="12">
      <c r="A22" s="37" t="s">
        <v>254</v>
      </c>
      <c r="B22" s="55"/>
      <c r="C22" s="274">
        <f>kab!H7</f>
        <v>87800</v>
      </c>
      <c r="D22" s="274">
        <f>ROUND(C22/1000,0)</f>
        <v>88</v>
      </c>
    </row>
    <row r="23" spans="2:4" ht="12">
      <c r="B23" s="55"/>
      <c r="C23" s="55"/>
      <c r="D23" s="55"/>
    </row>
    <row r="24" spans="1:4" ht="12">
      <c r="A24" s="37" t="s">
        <v>1307</v>
      </c>
      <c r="B24" s="55"/>
      <c r="C24" s="55"/>
      <c r="D24" s="55"/>
    </row>
    <row r="25" spans="2:4" ht="12">
      <c r="B25" s="55"/>
      <c r="C25" s="55"/>
      <c r="D25" s="55"/>
    </row>
    <row r="26" spans="1:4" ht="12">
      <c r="A26" s="37" t="s">
        <v>747</v>
      </c>
      <c r="B26" s="55"/>
      <c r="C26" s="55"/>
      <c r="D26" s="55"/>
    </row>
    <row r="27" spans="1:4" ht="12">
      <c r="A27" s="37" t="s">
        <v>748</v>
      </c>
      <c r="B27" s="55">
        <v>1</v>
      </c>
      <c r="C27" s="55"/>
      <c r="D27" s="55"/>
    </row>
    <row r="28" spans="1:4" ht="12">
      <c r="A28" s="37" t="s">
        <v>749</v>
      </c>
      <c r="B28" s="55">
        <v>6000</v>
      </c>
      <c r="C28" s="55"/>
      <c r="D28" s="55"/>
    </row>
    <row r="29" spans="1:4" ht="12">
      <c r="A29" s="37" t="s">
        <v>747</v>
      </c>
      <c r="B29" s="55"/>
      <c r="C29" s="274">
        <f>B27*B28*12</f>
        <v>72000</v>
      </c>
      <c r="D29" s="274">
        <f>ROUND(C29/1000,0)</f>
        <v>72</v>
      </c>
    </row>
    <row r="30" spans="2:4" ht="12">
      <c r="B30" s="55"/>
      <c r="C30" s="274"/>
      <c r="D30" s="274"/>
    </row>
    <row r="31" spans="1:4" ht="12">
      <c r="A31" s="37" t="s">
        <v>750</v>
      </c>
      <c r="B31" s="55"/>
      <c r="C31" s="55"/>
      <c r="D31" s="55"/>
    </row>
    <row r="32" spans="1:4" ht="12">
      <c r="A32" s="37" t="s">
        <v>748</v>
      </c>
      <c r="B32" s="55">
        <v>1</v>
      </c>
      <c r="C32" s="55"/>
      <c r="D32" s="55"/>
    </row>
    <row r="33" spans="1:4" ht="12">
      <c r="A33" s="37" t="s">
        <v>751</v>
      </c>
      <c r="B33" s="55"/>
      <c r="C33" s="55"/>
      <c r="D33" s="55"/>
    </row>
    <row r="34" spans="1:4" ht="12">
      <c r="A34" s="37" t="s">
        <v>750</v>
      </c>
      <c r="B34" s="55"/>
      <c r="C34" s="55">
        <f>B32*B33*12</f>
        <v>0</v>
      </c>
      <c r="D34" s="55">
        <f>ROUND(C34/1000,0)</f>
        <v>0</v>
      </c>
    </row>
    <row r="36" spans="1:4" s="9" customFormat="1" ht="12">
      <c r="A36" s="37" t="s">
        <v>1307</v>
      </c>
      <c r="B36" s="37"/>
      <c r="C36" s="295">
        <f>SUM(C29:C35)</f>
        <v>72000</v>
      </c>
      <c r="D36" s="295">
        <f>SUM(D29:D35)</f>
        <v>72</v>
      </c>
    </row>
    <row r="37" spans="3:4" ht="12">
      <c r="C37" s="294"/>
      <c r="D37" s="294"/>
    </row>
    <row r="38" spans="1:4" s="61" customFormat="1" ht="12">
      <c r="A38" s="9" t="s">
        <v>752</v>
      </c>
      <c r="B38" s="9"/>
      <c r="C38" s="296">
        <f>C22+C36</f>
        <v>159800</v>
      </c>
      <c r="D38" s="296">
        <f>D22+D36</f>
        <v>160</v>
      </c>
    </row>
    <row r="40" spans="1:4" ht="12">
      <c r="A40" s="61" t="s">
        <v>753</v>
      </c>
      <c r="B40" s="61"/>
      <c r="C40" s="249">
        <f>C18+C38</f>
        <v>1297100</v>
      </c>
      <c r="D40" s="249">
        <f>D18+D38</f>
        <v>1297</v>
      </c>
    </row>
    <row r="42" spans="1:4" s="61" customFormat="1" ht="12">
      <c r="A42" s="61" t="s">
        <v>754</v>
      </c>
      <c r="B42" s="37"/>
      <c r="C42" s="37"/>
      <c r="D42" s="37"/>
    </row>
    <row r="43" spans="1:4" ht="12">
      <c r="A43" s="37" t="s">
        <v>755</v>
      </c>
      <c r="B43" s="63" t="s">
        <v>1316</v>
      </c>
      <c r="C43" s="63" t="s">
        <v>599</v>
      </c>
      <c r="D43" s="55"/>
    </row>
    <row r="44" spans="1:4" ht="12">
      <c r="A44" s="37" t="s">
        <v>600</v>
      </c>
      <c r="B44" s="274">
        <f>C18+C22</f>
        <v>1225100</v>
      </c>
      <c r="C44" s="274">
        <f>B44*24%</f>
        <v>294024</v>
      </c>
      <c r="D44" s="274">
        <f>ROUND(C44/1000,0)</f>
        <v>294</v>
      </c>
    </row>
    <row r="45" spans="2:4" ht="12">
      <c r="B45" s="273" t="s">
        <v>1316</v>
      </c>
      <c r="C45" s="273" t="s">
        <v>601</v>
      </c>
      <c r="D45" s="304"/>
    </row>
    <row r="46" spans="1:4" ht="12">
      <c r="A46" s="37" t="s">
        <v>602</v>
      </c>
      <c r="B46" s="304">
        <f>C18+C22</f>
        <v>1225100</v>
      </c>
      <c r="C46" s="304">
        <f>B46*4.5%</f>
        <v>55129.5</v>
      </c>
      <c r="D46" s="304">
        <f>ROUND(C46/1000,0)</f>
        <v>55</v>
      </c>
    </row>
    <row r="47" spans="2:4" ht="12">
      <c r="B47" s="312" t="s">
        <v>1316</v>
      </c>
      <c r="C47" s="312" t="s">
        <v>604</v>
      </c>
      <c r="D47" s="274"/>
    </row>
    <row r="48" spans="1:4" ht="12">
      <c r="A48" s="37" t="s">
        <v>603</v>
      </c>
      <c r="B48" s="274">
        <f>C18+C22</f>
        <v>1225100</v>
      </c>
      <c r="C48" s="274">
        <f>B48*0.5%</f>
        <v>6125.5</v>
      </c>
      <c r="D48" s="274">
        <f>ROUND(C48/1000,0)</f>
        <v>6</v>
      </c>
    </row>
    <row r="49" spans="1:4" ht="12">
      <c r="A49" s="37" t="s">
        <v>605</v>
      </c>
      <c r="B49" s="274"/>
      <c r="C49" s="274">
        <f>C44+C46+C48</f>
        <v>355279</v>
      </c>
      <c r="D49" s="274">
        <f>D44+D46+D48</f>
        <v>355</v>
      </c>
    </row>
    <row r="50" spans="2:4" ht="12">
      <c r="B50" s="274"/>
      <c r="C50" s="274"/>
      <c r="D50" s="274"/>
    </row>
    <row r="51" spans="2:4" ht="12">
      <c r="B51" s="273" t="s">
        <v>1316</v>
      </c>
      <c r="C51" s="273" t="s">
        <v>1317</v>
      </c>
      <c r="D51" s="304"/>
    </row>
    <row r="52" spans="1:4" s="9" customFormat="1" ht="12">
      <c r="A52" s="37" t="s">
        <v>1318</v>
      </c>
      <c r="B52" s="304">
        <f>C18+C22</f>
        <v>1225100</v>
      </c>
      <c r="C52" s="304">
        <f>B52*3%</f>
        <v>36753</v>
      </c>
      <c r="D52" s="304">
        <f>ROUND(C52/1000,0)</f>
        <v>37</v>
      </c>
    </row>
    <row r="53" spans="2:4" ht="12">
      <c r="B53" s="304"/>
      <c r="C53" s="304"/>
      <c r="D53" s="304"/>
    </row>
    <row r="54" spans="1:4" ht="12">
      <c r="A54" s="37" t="s">
        <v>301</v>
      </c>
      <c r="B54" s="304"/>
      <c r="C54" s="304"/>
      <c r="D54" s="304"/>
    </row>
    <row r="55" spans="1:4" ht="12">
      <c r="A55" s="37" t="s">
        <v>302</v>
      </c>
      <c r="B55" s="304">
        <v>1</v>
      </c>
      <c r="C55" s="304"/>
      <c r="D55" s="304"/>
    </row>
    <row r="56" spans="1:4" ht="12">
      <c r="A56" s="37" t="s">
        <v>706</v>
      </c>
      <c r="B56" s="304">
        <v>1950</v>
      </c>
      <c r="C56" s="304">
        <f>B55*B56*12</f>
        <v>23400</v>
      </c>
      <c r="D56" s="304"/>
    </row>
    <row r="57" spans="1:4" ht="12">
      <c r="A57" s="37" t="s">
        <v>301</v>
      </c>
      <c r="B57" s="304"/>
      <c r="C57" s="304">
        <f>C56</f>
        <v>23400</v>
      </c>
      <c r="D57" s="304">
        <f>ROUND(C57/1000,0)</f>
        <v>23</v>
      </c>
    </row>
    <row r="58" spans="2:4" ht="12">
      <c r="B58" s="313"/>
      <c r="C58" s="313"/>
      <c r="D58" s="313"/>
    </row>
    <row r="59" spans="1:4" ht="12">
      <c r="A59" s="61" t="s">
        <v>754</v>
      </c>
      <c r="B59" s="314"/>
      <c r="C59" s="291">
        <f>C44+C46+C48+C52+C57</f>
        <v>415432</v>
      </c>
      <c r="D59" s="291">
        <f>D44+D46+D48+D52+D57</f>
        <v>415</v>
      </c>
    </row>
    <row r="60" spans="1:4" s="9" customFormat="1" ht="12">
      <c r="A60" s="37"/>
      <c r="B60" s="37"/>
      <c r="C60" s="37"/>
      <c r="D60" s="37"/>
    </row>
    <row r="61" ht="12">
      <c r="A61" s="61" t="s">
        <v>756</v>
      </c>
    </row>
    <row r="63" spans="1:3" ht="12">
      <c r="A63" s="9" t="s">
        <v>757</v>
      </c>
      <c r="B63" s="13" t="s">
        <v>665</v>
      </c>
      <c r="C63" s="63" t="s">
        <v>666</v>
      </c>
    </row>
    <row r="64" spans="1:4" ht="12">
      <c r="A64" s="37" t="s">
        <v>767</v>
      </c>
      <c r="B64" s="13"/>
      <c r="C64" s="55"/>
      <c r="D64" s="55">
        <f>ROUND(C64/1000,0)</f>
        <v>0</v>
      </c>
    </row>
    <row r="65" spans="1:4" ht="12">
      <c r="A65" s="37" t="s">
        <v>1140</v>
      </c>
      <c r="B65" s="13"/>
      <c r="C65" s="274">
        <v>72000</v>
      </c>
      <c r="D65" s="274">
        <f>ROUND(C65/1000,0)</f>
        <v>72</v>
      </c>
    </row>
    <row r="66" spans="1:4" ht="12">
      <c r="A66" s="37" t="s">
        <v>419</v>
      </c>
      <c r="B66" s="13"/>
      <c r="C66" s="274">
        <v>5000</v>
      </c>
      <c r="D66" s="274">
        <f>ROUND(C66/1000,0)</f>
        <v>5</v>
      </c>
    </row>
    <row r="67" spans="1:4" ht="12">
      <c r="A67" s="37" t="s">
        <v>768</v>
      </c>
      <c r="B67" s="13"/>
      <c r="C67" s="55"/>
      <c r="D67" s="55">
        <f>ROUND(C67/1000,0)</f>
        <v>0</v>
      </c>
    </row>
    <row r="68" spans="1:4" ht="12">
      <c r="A68" s="37" t="s">
        <v>769</v>
      </c>
      <c r="B68" s="13"/>
      <c r="C68" s="274">
        <v>50000</v>
      </c>
      <c r="D68" s="274">
        <f>ROUND(C68/1000,0)</f>
        <v>50</v>
      </c>
    </row>
    <row r="69" spans="1:4" ht="12">
      <c r="A69" s="9" t="s">
        <v>758</v>
      </c>
      <c r="B69" s="13">
        <f>SUM(B64:B68)</f>
        <v>0</v>
      </c>
      <c r="C69" s="243">
        <f>SUM(C64:C68)</f>
        <v>127000</v>
      </c>
      <c r="D69" s="243">
        <f>SUM(D64:D68)</f>
        <v>127</v>
      </c>
    </row>
    <row r="70" spans="1:4" s="9" customFormat="1" ht="12">
      <c r="A70" s="37"/>
      <c r="B70" s="16"/>
      <c r="C70" s="55"/>
      <c r="D70" s="55"/>
    </row>
    <row r="71" spans="1:4" ht="12">
      <c r="A71" s="9" t="s">
        <v>310</v>
      </c>
      <c r="B71" s="16"/>
      <c r="C71" s="55"/>
      <c r="D71" s="55"/>
    </row>
    <row r="72" spans="1:4" s="61" customFormat="1" ht="12">
      <c r="A72" s="37" t="s">
        <v>1056</v>
      </c>
      <c r="B72" s="13">
        <v>161625</v>
      </c>
      <c r="C72" s="274">
        <v>350000</v>
      </c>
      <c r="D72" s="274">
        <f aca="true" t="shared" si="0" ref="D72:D79">ROUND(C72/1000,0)</f>
        <v>350</v>
      </c>
    </row>
    <row r="73" spans="1:4" ht="12">
      <c r="A73" s="37" t="s">
        <v>1139</v>
      </c>
      <c r="B73" s="13">
        <v>0</v>
      </c>
      <c r="C73" s="274">
        <v>160000</v>
      </c>
      <c r="D73" s="274">
        <f t="shared" si="0"/>
        <v>160</v>
      </c>
    </row>
    <row r="74" spans="1:4" s="145" customFormat="1" ht="12">
      <c r="A74" s="37" t="s">
        <v>1580</v>
      </c>
      <c r="B74" s="13">
        <v>1243165</v>
      </c>
      <c r="C74" s="274">
        <v>2190000</v>
      </c>
      <c r="D74" s="274">
        <f t="shared" si="0"/>
        <v>2190</v>
      </c>
    </row>
    <row r="75" spans="1:4" s="145" customFormat="1" ht="12">
      <c r="A75" s="37" t="s">
        <v>1581</v>
      </c>
      <c r="B75" s="13">
        <v>808741</v>
      </c>
      <c r="C75" s="274">
        <v>870000</v>
      </c>
      <c r="D75" s="274">
        <f t="shared" si="0"/>
        <v>870</v>
      </c>
    </row>
    <row r="76" spans="1:4" s="145" customFormat="1" ht="12">
      <c r="A76" s="37" t="s">
        <v>1582</v>
      </c>
      <c r="B76" s="13">
        <v>59214</v>
      </c>
      <c r="C76" s="274">
        <v>40000</v>
      </c>
      <c r="D76" s="274">
        <f t="shared" si="0"/>
        <v>40</v>
      </c>
    </row>
    <row r="77" spans="1:4" s="145" customFormat="1" ht="12">
      <c r="A77" s="37" t="s">
        <v>1583</v>
      </c>
      <c r="B77" s="13">
        <v>78309</v>
      </c>
      <c r="C77" s="274">
        <v>50000</v>
      </c>
      <c r="D77" s="274">
        <f t="shared" si="0"/>
        <v>50</v>
      </c>
    </row>
    <row r="78" spans="1:4" s="9" customFormat="1" ht="12">
      <c r="A78" s="37" t="s">
        <v>1584</v>
      </c>
      <c r="B78" s="13">
        <v>0</v>
      </c>
      <c r="C78" s="274">
        <v>50000</v>
      </c>
      <c r="D78" s="274">
        <f t="shared" si="0"/>
        <v>50</v>
      </c>
    </row>
    <row r="79" spans="1:4" s="9" customFormat="1" ht="12">
      <c r="A79" s="37" t="s">
        <v>503</v>
      </c>
      <c r="B79" s="13"/>
      <c r="C79" s="55"/>
      <c r="D79" s="55">
        <f t="shared" si="0"/>
        <v>0</v>
      </c>
    </row>
    <row r="80" spans="1:4" s="9" customFormat="1" ht="12">
      <c r="A80" s="9" t="s">
        <v>313</v>
      </c>
      <c r="B80" s="243">
        <f>SUM(B72:B78)</f>
        <v>2351054</v>
      </c>
      <c r="C80" s="243">
        <f>SUM(C72:C79)</f>
        <v>3710000</v>
      </c>
      <c r="D80" s="243">
        <f>SUM(D72:D79)</f>
        <v>3710</v>
      </c>
    </row>
    <row r="81" spans="1:4" s="145" customFormat="1" ht="12">
      <c r="A81" s="37"/>
      <c r="B81" s="55"/>
      <c r="C81" s="55"/>
      <c r="D81" s="55"/>
    </row>
    <row r="82" spans="2:4" ht="12">
      <c r="B82" s="55"/>
      <c r="C82" s="55"/>
      <c r="D82" s="55"/>
    </row>
    <row r="83" spans="1:4" ht="12">
      <c r="A83" s="9" t="s">
        <v>1444</v>
      </c>
      <c r="B83" s="55"/>
      <c r="C83" s="55"/>
      <c r="D83" s="55"/>
    </row>
    <row r="84" spans="1:4" ht="12">
      <c r="A84" s="37" t="s">
        <v>1585</v>
      </c>
      <c r="B84" s="14" t="s">
        <v>316</v>
      </c>
      <c r="C84" s="14" t="s">
        <v>317</v>
      </c>
      <c r="D84" s="55"/>
    </row>
    <row r="85" spans="1:4" ht="12">
      <c r="A85" s="37" t="s">
        <v>997</v>
      </c>
      <c r="B85" s="55"/>
      <c r="C85" s="55">
        <f>B85*15%</f>
        <v>0</v>
      </c>
      <c r="D85" s="55"/>
    </row>
    <row r="86" spans="1:4" ht="12">
      <c r="A86" s="37" t="s">
        <v>998</v>
      </c>
      <c r="B86" s="55"/>
      <c r="C86" s="55">
        <f>B86*20%</f>
        <v>0</v>
      </c>
      <c r="D86" s="55"/>
    </row>
    <row r="87" spans="1:4" ht="12">
      <c r="A87" s="37" t="s">
        <v>1586</v>
      </c>
      <c r="B87" s="55"/>
      <c r="C87" s="55">
        <v>758000</v>
      </c>
      <c r="D87" s="55">
        <f>ROUND(C87/1000,0)</f>
        <v>758</v>
      </c>
    </row>
    <row r="88" spans="2:4" ht="12">
      <c r="B88" s="55"/>
      <c r="C88" s="55"/>
      <c r="D88" s="55"/>
    </row>
    <row r="89" spans="1:4" ht="12">
      <c r="A89" s="9" t="s">
        <v>1444</v>
      </c>
      <c r="B89" s="243"/>
      <c r="C89" s="280">
        <f>SUM(C87:C88)</f>
        <v>758000</v>
      </c>
      <c r="D89" s="280">
        <f>SUM(D87:D88)</f>
        <v>758</v>
      </c>
    </row>
    <row r="90" spans="2:4" ht="12">
      <c r="B90" s="55"/>
      <c r="C90" s="55"/>
      <c r="D90" s="55"/>
    </row>
    <row r="91" spans="1:4" ht="12">
      <c r="A91" s="61" t="s">
        <v>1445</v>
      </c>
      <c r="B91" s="226"/>
      <c r="C91" s="226">
        <f>C69+C80+C89</f>
        <v>4595000</v>
      </c>
      <c r="D91" s="226">
        <f>D69+D80+D89</f>
        <v>4595</v>
      </c>
    </row>
    <row r="92" spans="1:4" ht="12">
      <c r="A92" s="61"/>
      <c r="B92" s="55"/>
      <c r="C92" s="55"/>
      <c r="D92" s="55"/>
    </row>
    <row r="93" spans="1:4" ht="12">
      <c r="A93" s="61" t="s">
        <v>999</v>
      </c>
      <c r="B93" s="241"/>
      <c r="C93" s="226">
        <f>C40+C59+C91</f>
        <v>6307532</v>
      </c>
      <c r="D93" s="226">
        <f>D40+D59+D91</f>
        <v>6307</v>
      </c>
    </row>
    <row r="94" spans="1:4" ht="12">
      <c r="A94" s="61"/>
      <c r="B94" s="241"/>
      <c r="C94" s="226"/>
      <c r="D94" s="226"/>
    </row>
    <row r="95" spans="1:4" ht="12">
      <c r="A95" s="61" t="s">
        <v>1000</v>
      </c>
      <c r="B95" s="241"/>
      <c r="C95" s="226"/>
      <c r="D95" s="226"/>
    </row>
    <row r="96" spans="1:4" ht="12">
      <c r="A96" s="61"/>
      <c r="B96" s="241"/>
      <c r="C96" s="226"/>
      <c r="D96" s="226"/>
    </row>
    <row r="97" spans="2:4" ht="12">
      <c r="B97" s="243"/>
      <c r="C97" s="55"/>
      <c r="D97" s="55"/>
    </row>
    <row r="98" spans="2:4" ht="12">
      <c r="B98" s="243"/>
      <c r="C98" s="55"/>
      <c r="D98" s="55"/>
    </row>
    <row r="99" spans="1:4" ht="12">
      <c r="A99" s="61" t="s">
        <v>1002</v>
      </c>
      <c r="B99" s="241"/>
      <c r="C99" s="226">
        <f>SUM(C97:C98)</f>
        <v>0</v>
      </c>
      <c r="D99" s="226">
        <f>SUM(D97:D98)</f>
        <v>0</v>
      </c>
    </row>
    <row r="100" spans="2:4" ht="12">
      <c r="B100" s="55"/>
      <c r="C100" s="55"/>
      <c r="D100" s="55"/>
    </row>
    <row r="101" spans="1:4" ht="12">
      <c r="A101" s="145" t="s">
        <v>759</v>
      </c>
      <c r="C101" s="264">
        <f>C93+C99</f>
        <v>6307532</v>
      </c>
      <c r="D101" s="264">
        <f>D93+D99</f>
        <v>6307</v>
      </c>
    </row>
    <row r="103" ht="12">
      <c r="A103" s="61" t="s">
        <v>504</v>
      </c>
    </row>
    <row r="105" spans="1:4" ht="36.75" customHeight="1">
      <c r="A105" s="363" t="s">
        <v>498</v>
      </c>
      <c r="B105" s="363"/>
      <c r="C105" s="363"/>
      <c r="D105" s="363"/>
    </row>
    <row r="107" ht="12">
      <c r="A107" s="37" t="s">
        <v>760</v>
      </c>
    </row>
    <row r="108" ht="12">
      <c r="A108" s="37" t="s">
        <v>761</v>
      </c>
    </row>
    <row r="110" ht="12">
      <c r="A110" s="61" t="s">
        <v>756</v>
      </c>
    </row>
    <row r="112" spans="1:3" ht="12">
      <c r="A112" s="9" t="s">
        <v>757</v>
      </c>
      <c r="B112" s="13" t="s">
        <v>665</v>
      </c>
      <c r="C112" s="63" t="s">
        <v>666</v>
      </c>
    </row>
    <row r="113" spans="1:4" ht="12">
      <c r="A113" s="37" t="s">
        <v>438</v>
      </c>
      <c r="B113" s="13"/>
      <c r="C113" s="274">
        <v>8400</v>
      </c>
      <c r="D113" s="274">
        <f>ROUND(C113/1000,0)</f>
        <v>8</v>
      </c>
    </row>
    <row r="114" spans="1:4" ht="12">
      <c r="A114" s="37" t="s">
        <v>439</v>
      </c>
      <c r="B114" s="13"/>
      <c r="C114" s="274">
        <v>5000</v>
      </c>
      <c r="D114" s="274">
        <f>ROUND(C114/1000,0)</f>
        <v>5</v>
      </c>
    </row>
    <row r="115" spans="1:4" ht="12">
      <c r="A115" s="37" t="s">
        <v>440</v>
      </c>
      <c r="B115" s="13"/>
      <c r="C115" s="274">
        <v>24000</v>
      </c>
      <c r="D115" s="274">
        <f>ROUND(C115/1000,0)</f>
        <v>24</v>
      </c>
    </row>
    <row r="116" spans="1:4" ht="12">
      <c r="A116" s="37" t="s">
        <v>768</v>
      </c>
      <c r="B116" s="13"/>
      <c r="C116" s="274"/>
      <c r="D116" s="274">
        <f>ROUND(C116/1000,0)</f>
        <v>0</v>
      </c>
    </row>
    <row r="117" spans="1:4" ht="12">
      <c r="A117" s="37" t="s">
        <v>769</v>
      </c>
      <c r="B117" s="13"/>
      <c r="C117" s="274"/>
      <c r="D117" s="274">
        <f>ROUND(C117/1000,0)</f>
        <v>0</v>
      </c>
    </row>
    <row r="118" spans="1:4" ht="12">
      <c r="A118" s="9" t="s">
        <v>758</v>
      </c>
      <c r="B118" s="13">
        <f>SUM(B113:B117)</f>
        <v>0</v>
      </c>
      <c r="C118" s="280">
        <f>SUM(C113:C117)</f>
        <v>37400</v>
      </c>
      <c r="D118" s="280">
        <f>SUM(D113:D117)</f>
        <v>37</v>
      </c>
    </row>
    <row r="119" spans="2:4" ht="12">
      <c r="B119" s="16"/>
      <c r="C119" s="304"/>
      <c r="D119" s="304"/>
    </row>
    <row r="120" spans="1:4" ht="12">
      <c r="A120" s="9" t="s">
        <v>310</v>
      </c>
      <c r="B120" s="16"/>
      <c r="C120" s="55"/>
      <c r="D120" s="55"/>
    </row>
    <row r="121" spans="1:4" ht="12">
      <c r="A121" s="37" t="s">
        <v>1056</v>
      </c>
      <c r="B121" s="13">
        <v>283666</v>
      </c>
      <c r="C121" s="274">
        <v>39000</v>
      </c>
      <c r="D121" s="274">
        <f aca="true" t="shared" si="1" ref="D121:D128">ROUND(C121/1000,0)</f>
        <v>39</v>
      </c>
    </row>
    <row r="122" spans="1:4" ht="12">
      <c r="A122" s="37" t="s">
        <v>770</v>
      </c>
      <c r="B122" s="13">
        <v>0</v>
      </c>
      <c r="C122" s="55"/>
      <c r="D122" s="55">
        <f t="shared" si="1"/>
        <v>0</v>
      </c>
    </row>
    <row r="123" spans="1:4" ht="12">
      <c r="A123" s="37" t="s">
        <v>1580</v>
      </c>
      <c r="B123" s="13">
        <v>393971</v>
      </c>
      <c r="C123" s="274">
        <v>630000</v>
      </c>
      <c r="D123" s="274">
        <f t="shared" si="1"/>
        <v>630</v>
      </c>
    </row>
    <row r="124" spans="1:4" ht="12">
      <c r="A124" s="37" t="s">
        <v>1581</v>
      </c>
      <c r="B124" s="13">
        <v>348280</v>
      </c>
      <c r="C124" s="274">
        <v>213000</v>
      </c>
      <c r="D124" s="274">
        <f t="shared" si="1"/>
        <v>213</v>
      </c>
    </row>
    <row r="125" spans="1:4" ht="12">
      <c r="A125" s="37" t="s">
        <v>1582</v>
      </c>
      <c r="B125" s="13">
        <v>50040</v>
      </c>
      <c r="C125" s="274">
        <v>9000</v>
      </c>
      <c r="D125" s="274">
        <f t="shared" si="1"/>
        <v>9</v>
      </c>
    </row>
    <row r="126" spans="1:4" ht="12">
      <c r="A126" s="37" t="s">
        <v>1583</v>
      </c>
      <c r="B126" s="13">
        <v>24360</v>
      </c>
      <c r="C126" s="55"/>
      <c r="D126" s="55">
        <f t="shared" si="1"/>
        <v>0</v>
      </c>
    </row>
    <row r="127" spans="1:4" ht="12">
      <c r="A127" s="37" t="s">
        <v>1584</v>
      </c>
      <c r="B127" s="13">
        <v>5820</v>
      </c>
      <c r="C127" s="274">
        <v>5000</v>
      </c>
      <c r="D127" s="274">
        <f t="shared" si="1"/>
        <v>5</v>
      </c>
    </row>
    <row r="128" spans="1:4" ht="12">
      <c r="A128" s="37" t="s">
        <v>503</v>
      </c>
      <c r="B128" s="13">
        <v>3000</v>
      </c>
      <c r="C128" s="274">
        <v>5000</v>
      </c>
      <c r="D128" s="274">
        <f t="shared" si="1"/>
        <v>5</v>
      </c>
    </row>
    <row r="129" spans="1:4" ht="12">
      <c r="A129" s="9" t="s">
        <v>313</v>
      </c>
      <c r="B129" s="243">
        <f>SUM(B121:B127)</f>
        <v>1106137</v>
      </c>
      <c r="C129" s="243">
        <f>SUM(C121:C128)</f>
        <v>901000</v>
      </c>
      <c r="D129" s="243">
        <f>SUM(D121:D128)</f>
        <v>901</v>
      </c>
    </row>
    <row r="130" spans="2:4" ht="12">
      <c r="B130" s="55"/>
      <c r="C130" s="55"/>
      <c r="D130" s="55"/>
    </row>
    <row r="131" spans="2:4" ht="12">
      <c r="B131" s="55"/>
      <c r="C131" s="55"/>
      <c r="D131" s="55"/>
    </row>
    <row r="132" spans="1:4" ht="12">
      <c r="A132" s="9" t="s">
        <v>1444</v>
      </c>
      <c r="B132" s="55"/>
      <c r="C132" s="55"/>
      <c r="D132" s="55"/>
    </row>
    <row r="133" spans="1:4" ht="12">
      <c r="A133" s="37" t="s">
        <v>1585</v>
      </c>
      <c r="B133" s="14" t="s">
        <v>316</v>
      </c>
      <c r="C133" s="14" t="s">
        <v>317</v>
      </c>
      <c r="D133" s="55"/>
    </row>
    <row r="134" spans="1:4" ht="12">
      <c r="A134" s="37" t="s">
        <v>997</v>
      </c>
      <c r="B134" s="55"/>
      <c r="C134" s="55">
        <f>B134*15%</f>
        <v>0</v>
      </c>
      <c r="D134" s="55"/>
    </row>
    <row r="135" spans="1:4" ht="12">
      <c r="A135" s="37" t="s">
        <v>998</v>
      </c>
      <c r="B135" s="55"/>
      <c r="C135" s="274">
        <v>198000</v>
      </c>
      <c r="D135" s="274"/>
    </row>
    <row r="136" spans="1:4" ht="12">
      <c r="A136" s="37" t="s">
        <v>1586</v>
      </c>
      <c r="B136" s="55"/>
      <c r="C136" s="274">
        <f>SUM(C134:C135)</f>
        <v>198000</v>
      </c>
      <c r="D136" s="274">
        <f>ROUND(C136/1000,0)</f>
        <v>198</v>
      </c>
    </row>
    <row r="137" spans="2:4" ht="12">
      <c r="B137" s="55"/>
      <c r="C137" s="274"/>
      <c r="D137" s="274"/>
    </row>
    <row r="138" spans="1:4" ht="12">
      <c r="A138" s="9" t="s">
        <v>1444</v>
      </c>
      <c r="B138" s="243"/>
      <c r="C138" s="280">
        <f>SUM(C136:C137)</f>
        <v>198000</v>
      </c>
      <c r="D138" s="280">
        <f>SUM(D136:D137)</f>
        <v>198</v>
      </c>
    </row>
    <row r="139" spans="2:4" ht="12">
      <c r="B139" s="55"/>
      <c r="C139" s="55"/>
      <c r="D139" s="55"/>
    </row>
    <row r="140" spans="1:4" ht="12">
      <c r="A140" s="61" t="s">
        <v>1445</v>
      </c>
      <c r="B140" s="226"/>
      <c r="C140" s="226">
        <f>C118+C129+C138</f>
        <v>1136400</v>
      </c>
      <c r="D140" s="226">
        <f>D118+D129+D138</f>
        <v>1136</v>
      </c>
    </row>
    <row r="141" spans="1:4" ht="12">
      <c r="A141" s="61"/>
      <c r="B141" s="55"/>
      <c r="C141" s="55"/>
      <c r="D141" s="55"/>
    </row>
    <row r="142" spans="1:4" ht="12">
      <c r="A142" s="61" t="s">
        <v>999</v>
      </c>
      <c r="B142" s="241"/>
      <c r="C142" s="226">
        <f>C140</f>
        <v>1136400</v>
      </c>
      <c r="D142" s="226">
        <f>D140</f>
        <v>1136</v>
      </c>
    </row>
    <row r="143" spans="1:4" ht="12">
      <c r="A143" s="61"/>
      <c r="B143" s="241"/>
      <c r="C143" s="226"/>
      <c r="D143" s="226"/>
    </row>
    <row r="144" spans="1:4" ht="12">
      <c r="A144" s="61" t="s">
        <v>1000</v>
      </c>
      <c r="B144" s="241"/>
      <c r="C144" s="226"/>
      <c r="D144" s="226"/>
    </row>
    <row r="145" spans="1:4" ht="12">
      <c r="A145" s="61"/>
      <c r="B145" s="241"/>
      <c r="C145" s="226"/>
      <c r="D145" s="226"/>
    </row>
    <row r="146" spans="2:4" ht="12">
      <c r="B146" s="243"/>
      <c r="C146" s="55"/>
      <c r="D146" s="55"/>
    </row>
    <row r="147" spans="2:4" ht="12">
      <c r="B147" s="243"/>
      <c r="C147" s="55"/>
      <c r="D147" s="55"/>
    </row>
    <row r="148" spans="1:4" ht="12">
      <c r="A148" s="61" t="s">
        <v>1002</v>
      </c>
      <c r="B148" s="241"/>
      <c r="C148" s="226">
        <f>SUM(C146:C147)</f>
        <v>0</v>
      </c>
      <c r="D148" s="226">
        <f>SUM(D146:D147)</f>
        <v>0</v>
      </c>
    </row>
    <row r="149" spans="2:4" ht="12">
      <c r="B149" s="55"/>
      <c r="C149" s="55"/>
      <c r="D149" s="55"/>
    </row>
    <row r="150" spans="1:4" ht="12">
      <c r="A150" s="145" t="s">
        <v>759</v>
      </c>
      <c r="C150" s="264">
        <f>C142+C148</f>
        <v>1136400</v>
      </c>
      <c r="D150" s="264">
        <f>D142+D148</f>
        <v>1136</v>
      </c>
    </row>
  </sheetData>
  <sheetProtection/>
  <mergeCells count="2">
    <mergeCell ref="A4:D4"/>
    <mergeCell ref="A105:D105"/>
  </mergeCells>
  <printOptions horizontalCentered="1"/>
  <pageMargins left="0.7874015748031497" right="0.7874015748031497" top="0.7874015748031497" bottom="0.6299212598425197" header="0.2362204724409449" footer="0.2755905511811024"/>
  <pageSetup horizontalDpi="600" verticalDpi="600" orientation="portrait" paperSize="9" r:id="rId1"/>
  <headerFooter alignWithMargins="0">
    <oddHeader>&amp;C
&amp;"Arial,Félkövér dőlt"&amp;11TISZAGYULAHÁZA KÖZSÉG 2005.ÉVI KÖLTSÉGVETÉSE&amp;R&amp;"Arial,Dőlt"&amp;8Iskola</oddHeader>
    <oddFooter>&amp;C&amp;"Arial,Dőlt"&amp;8&amp;P. oldal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3">
      <selection activeCell="C52" sqref="C52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145" t="s">
        <v>1613</v>
      </c>
    </row>
    <row r="3" spans="1:4" ht="28.5" customHeight="1">
      <c r="A3" s="363" t="s">
        <v>21</v>
      </c>
      <c r="B3" s="361"/>
      <c r="C3" s="361"/>
      <c r="D3" s="361"/>
    </row>
    <row r="5" ht="12">
      <c r="A5" s="37" t="s">
        <v>255</v>
      </c>
    </row>
    <row r="6" ht="12">
      <c r="A6" s="37" t="s">
        <v>256</v>
      </c>
    </row>
    <row r="8" ht="12">
      <c r="A8" s="9" t="s">
        <v>22</v>
      </c>
    </row>
    <row r="10" spans="1:2" ht="12">
      <c r="A10" s="37" t="s">
        <v>310</v>
      </c>
      <c r="B10" s="37"/>
    </row>
    <row r="11" spans="1:3" ht="12">
      <c r="A11" s="37" t="s">
        <v>41</v>
      </c>
      <c r="B11" s="13" t="s">
        <v>665</v>
      </c>
      <c r="C11" s="63" t="s">
        <v>666</v>
      </c>
    </row>
    <row r="12" spans="1:4" ht="12">
      <c r="A12" s="37" t="s">
        <v>42</v>
      </c>
      <c r="B12" s="246">
        <v>0</v>
      </c>
      <c r="D12" s="55">
        <f>ROUND(C12/1000,0)</f>
        <v>0</v>
      </c>
    </row>
    <row r="14" spans="1:3" ht="12">
      <c r="A14" s="37" t="s">
        <v>43</v>
      </c>
      <c r="B14" s="14" t="s">
        <v>215</v>
      </c>
      <c r="C14" s="14" t="s">
        <v>317</v>
      </c>
    </row>
    <row r="15" spans="1:4" ht="12">
      <c r="A15" s="37" t="s">
        <v>260</v>
      </c>
      <c r="B15" s="55">
        <f>C12</f>
        <v>0</v>
      </c>
      <c r="C15" s="55">
        <f>B15*25%</f>
        <v>0</v>
      </c>
      <c r="D15" s="55">
        <f>ROUND(C15/1000,0)</f>
        <v>0</v>
      </c>
    </row>
    <row r="17" spans="1:4" ht="12">
      <c r="A17" s="9" t="s">
        <v>756</v>
      </c>
      <c r="C17" s="55">
        <f>C12+C15</f>
        <v>0</v>
      </c>
      <c r="D17" s="55">
        <f>D12+D15</f>
        <v>0</v>
      </c>
    </row>
    <row r="19" spans="1:4" s="145" customFormat="1" ht="12">
      <c r="A19" s="145" t="s">
        <v>44</v>
      </c>
      <c r="B19" s="241"/>
      <c r="C19" s="241">
        <f>C17</f>
        <v>0</v>
      </c>
      <c r="D19" s="241">
        <f>D17</f>
        <v>0</v>
      </c>
    </row>
    <row r="22" ht="12">
      <c r="A22" s="61" t="s">
        <v>1554</v>
      </c>
    </row>
    <row r="24" spans="1:4" ht="39.75" customHeight="1">
      <c r="A24" s="363" t="s">
        <v>1322</v>
      </c>
      <c r="B24" s="361"/>
      <c r="C24" s="361"/>
      <c r="D24" s="361"/>
    </row>
    <row r="26" ht="12">
      <c r="A26" s="37" t="s">
        <v>255</v>
      </c>
    </row>
    <row r="27" ht="12">
      <c r="A27" s="37" t="s">
        <v>1556</v>
      </c>
    </row>
    <row r="29" ht="12">
      <c r="A29" s="9" t="s">
        <v>1302</v>
      </c>
    </row>
    <row r="30" spans="2:3" ht="12">
      <c r="B30" s="63" t="s">
        <v>1300</v>
      </c>
      <c r="C30" s="63" t="s">
        <v>1301</v>
      </c>
    </row>
    <row r="31" spans="1:4" ht="12">
      <c r="A31" s="37" t="s">
        <v>261</v>
      </c>
      <c r="B31" s="274">
        <f>hil!$D$23</f>
        <v>84000</v>
      </c>
      <c r="C31" s="274">
        <f>B31*12</f>
        <v>1008000</v>
      </c>
      <c r="D31" s="274"/>
    </row>
    <row r="32" spans="1:4" ht="12">
      <c r="A32" s="37" t="s">
        <v>1628</v>
      </c>
      <c r="B32" s="274"/>
      <c r="C32" s="274">
        <f>SUM(C31:C31)</f>
        <v>1008000</v>
      </c>
      <c r="D32" s="274">
        <f>ROUND(C32/1000,0)</f>
        <v>1008</v>
      </c>
    </row>
    <row r="33" spans="2:4" ht="12">
      <c r="B33" s="274"/>
      <c r="C33" s="274"/>
      <c r="D33" s="274"/>
    </row>
    <row r="34" spans="1:4" ht="12">
      <c r="A34" s="9" t="s">
        <v>1303</v>
      </c>
      <c r="B34" s="274"/>
      <c r="C34" s="274"/>
      <c r="D34" s="274"/>
    </row>
    <row r="35" spans="1:4" ht="12">
      <c r="A35" s="37" t="s">
        <v>1305</v>
      </c>
      <c r="B35" s="274"/>
      <c r="C35" s="274"/>
      <c r="D35" s="274"/>
    </row>
    <row r="36" spans="1:4" ht="12">
      <c r="A36" s="37" t="s">
        <v>254</v>
      </c>
      <c r="B36" s="274"/>
      <c r="C36" s="274">
        <f>hil!D23</f>
        <v>84000</v>
      </c>
      <c r="D36" s="274">
        <f>ROUND(C36/1000,0)</f>
        <v>84</v>
      </c>
    </row>
    <row r="37" ht="12">
      <c r="A37" s="37" t="s">
        <v>538</v>
      </c>
    </row>
    <row r="38" ht="12">
      <c r="A38" s="37" t="s">
        <v>1311</v>
      </c>
    </row>
    <row r="39" ht="12">
      <c r="A39" s="37" t="s">
        <v>539</v>
      </c>
    </row>
    <row r="40" ht="12">
      <c r="A40" s="37" t="s">
        <v>540</v>
      </c>
    </row>
    <row r="41" spans="1:4" ht="12">
      <c r="A41" s="37" t="s">
        <v>1311</v>
      </c>
      <c r="D41" s="55">
        <f>ROUND(C41/1000,0)</f>
        <v>0</v>
      </c>
    </row>
    <row r="42" spans="1:4" ht="12">
      <c r="A42" s="9" t="s">
        <v>1303</v>
      </c>
      <c r="D42" s="55">
        <f>SUM(D41)</f>
        <v>0</v>
      </c>
    </row>
    <row r="44" spans="1:2" ht="12">
      <c r="A44" s="37" t="s">
        <v>45</v>
      </c>
      <c r="B44" s="13" t="s">
        <v>665</v>
      </c>
    </row>
    <row r="45" spans="1:4" s="9" customFormat="1" ht="12">
      <c r="A45" s="37" t="s">
        <v>46</v>
      </c>
      <c r="B45" s="13">
        <v>71000</v>
      </c>
      <c r="C45" s="274">
        <v>70000</v>
      </c>
      <c r="D45" s="274"/>
    </row>
    <row r="46" spans="1:4" s="9" customFormat="1" ht="12">
      <c r="A46" s="37" t="s">
        <v>45</v>
      </c>
      <c r="B46" s="55"/>
      <c r="C46" s="274">
        <f>SUM(C45)</f>
        <v>70000</v>
      </c>
      <c r="D46" s="274">
        <f>ROUND(C46/1000,0)</f>
        <v>70</v>
      </c>
    </row>
    <row r="47" spans="1:4" ht="12">
      <c r="A47" s="9" t="s">
        <v>265</v>
      </c>
      <c r="B47" s="243"/>
      <c r="C47" s="280">
        <f>C46</f>
        <v>70000</v>
      </c>
      <c r="D47" s="280">
        <f>D46</f>
        <v>70</v>
      </c>
    </row>
    <row r="48" spans="1:4" ht="12">
      <c r="A48" s="9" t="s">
        <v>753</v>
      </c>
      <c r="B48" s="243"/>
      <c r="C48" s="280">
        <f>C32+C36+C42+C47</f>
        <v>1162000</v>
      </c>
      <c r="D48" s="280">
        <f>D32+D36+D42+D47</f>
        <v>1162</v>
      </c>
    </row>
    <row r="49" spans="1:4" ht="12">
      <c r="A49" s="9"/>
      <c r="B49" s="243"/>
      <c r="C49" s="280"/>
      <c r="D49" s="243"/>
    </row>
    <row r="50" ht="12">
      <c r="A50" s="9" t="s">
        <v>754</v>
      </c>
    </row>
    <row r="51" spans="1:4" ht="12">
      <c r="A51" s="37" t="s">
        <v>755</v>
      </c>
      <c r="B51" s="273" t="s">
        <v>1316</v>
      </c>
      <c r="C51" s="273" t="s">
        <v>599</v>
      </c>
      <c r="D51" s="304"/>
    </row>
    <row r="52" spans="1:4" ht="12">
      <c r="A52" s="37" t="s">
        <v>600</v>
      </c>
      <c r="B52" s="304">
        <f>C32+C36+C47</f>
        <v>1162000</v>
      </c>
      <c r="C52" s="304">
        <f>B52*24%</f>
        <v>278880</v>
      </c>
      <c r="D52" s="304">
        <f>ROUND(C52/1000,0)</f>
        <v>279</v>
      </c>
    </row>
    <row r="53" spans="2:4" ht="12">
      <c r="B53" s="312" t="s">
        <v>1316</v>
      </c>
      <c r="C53" s="312" t="s">
        <v>601</v>
      </c>
      <c r="D53" s="274"/>
    </row>
    <row r="54" spans="1:4" ht="12">
      <c r="A54" s="37" t="s">
        <v>602</v>
      </c>
      <c r="B54" s="274">
        <f>C32+C36+C47</f>
        <v>1162000</v>
      </c>
      <c r="C54" s="274">
        <f>B54*4.5%</f>
        <v>52290</v>
      </c>
      <c r="D54" s="274">
        <f>ROUND(C54/1000,0)</f>
        <v>52</v>
      </c>
    </row>
    <row r="55" spans="2:4" ht="12">
      <c r="B55" s="273" t="s">
        <v>1316</v>
      </c>
      <c r="C55" s="273" t="s">
        <v>604</v>
      </c>
      <c r="D55" s="304"/>
    </row>
    <row r="56" spans="1:4" ht="12">
      <c r="A56" s="37" t="s">
        <v>603</v>
      </c>
      <c r="B56" s="304">
        <f>C32+C36+C47</f>
        <v>1162000</v>
      </c>
      <c r="C56" s="304">
        <f>B56*0.5%</f>
        <v>5810</v>
      </c>
      <c r="D56" s="304">
        <f>ROUND(C56/1000,0)</f>
        <v>6</v>
      </c>
    </row>
    <row r="57" spans="1:4" ht="12">
      <c r="A57" s="37" t="s">
        <v>605</v>
      </c>
      <c r="B57" s="304"/>
      <c r="C57" s="304">
        <f>C52+C54+C56</f>
        <v>336980</v>
      </c>
      <c r="D57" s="304">
        <f>D52+D54+D56</f>
        <v>337</v>
      </c>
    </row>
    <row r="58" spans="2:4" ht="12">
      <c r="B58" s="312" t="s">
        <v>1316</v>
      </c>
      <c r="C58" s="312" t="s">
        <v>1317</v>
      </c>
      <c r="D58" s="274"/>
    </row>
    <row r="59" spans="1:4" ht="12">
      <c r="A59" s="37" t="s">
        <v>1318</v>
      </c>
      <c r="B59" s="274">
        <f>C32+C36</f>
        <v>1092000</v>
      </c>
      <c r="C59" s="274">
        <f>B59*3%</f>
        <v>32760</v>
      </c>
      <c r="D59" s="274">
        <f>ROUND(C59/1000,0)</f>
        <v>33</v>
      </c>
    </row>
    <row r="60" spans="1:4" s="9" customFormat="1" ht="12">
      <c r="A60" s="37"/>
      <c r="B60" s="55"/>
      <c r="C60" s="274"/>
      <c r="D60" s="55"/>
    </row>
    <row r="61" spans="1:3" ht="12">
      <c r="A61" s="37" t="s">
        <v>301</v>
      </c>
      <c r="C61" s="274"/>
    </row>
    <row r="62" spans="1:3" ht="12">
      <c r="A62" s="37" t="s">
        <v>302</v>
      </c>
      <c r="B62" s="55">
        <v>1</v>
      </c>
      <c r="C62" s="274"/>
    </row>
    <row r="63" spans="1:3" ht="12">
      <c r="A63" s="37" t="s">
        <v>706</v>
      </c>
      <c r="B63" s="55">
        <v>1950</v>
      </c>
      <c r="C63" s="274">
        <f>B62*B63*12</f>
        <v>23400</v>
      </c>
    </row>
    <row r="64" spans="2:3" ht="12">
      <c r="B64" s="14" t="s">
        <v>620</v>
      </c>
      <c r="C64" s="292" t="s">
        <v>1126</v>
      </c>
    </row>
    <row r="65" spans="1:3" ht="12">
      <c r="A65" s="37" t="s">
        <v>1125</v>
      </c>
      <c r="B65" s="55">
        <f>C40+C45</f>
        <v>70000</v>
      </c>
      <c r="C65" s="274">
        <f>B65*11%</f>
        <v>7700</v>
      </c>
    </row>
    <row r="66" spans="1:4" ht="12">
      <c r="A66" s="37" t="s">
        <v>301</v>
      </c>
      <c r="C66" s="274">
        <f>C63+C65</f>
        <v>31100</v>
      </c>
      <c r="D66" s="274">
        <f>ROUND(C66/1000,0)</f>
        <v>31</v>
      </c>
    </row>
    <row r="67" spans="1:4" s="9" customFormat="1" ht="12">
      <c r="A67" s="9" t="s">
        <v>754</v>
      </c>
      <c r="B67" s="243"/>
      <c r="C67" s="280">
        <f>C52+C54+C56+C59+C66</f>
        <v>400840</v>
      </c>
      <c r="D67" s="280">
        <f>D52+D54+D56+D59+D66</f>
        <v>401</v>
      </c>
    </row>
    <row r="69" ht="12">
      <c r="A69" s="61" t="s">
        <v>756</v>
      </c>
    </row>
    <row r="71" spans="1:3" ht="12">
      <c r="A71" s="61" t="s">
        <v>47</v>
      </c>
      <c r="B71" s="13" t="s">
        <v>665</v>
      </c>
      <c r="C71" s="63" t="s">
        <v>666</v>
      </c>
    </row>
    <row r="72" spans="1:4" ht="12">
      <c r="A72" s="37" t="s">
        <v>48</v>
      </c>
      <c r="B72" s="13">
        <v>29931</v>
      </c>
      <c r="C72" s="274">
        <v>40000</v>
      </c>
      <c r="D72" s="274">
        <f>ROUND(C72/1000,0)</f>
        <v>40</v>
      </c>
    </row>
    <row r="73" spans="1:4" ht="12">
      <c r="A73" s="37" t="s">
        <v>49</v>
      </c>
      <c r="B73" s="13"/>
      <c r="C73" s="274"/>
      <c r="D73" s="274">
        <f>ROUND(C73/1000,0)</f>
        <v>0</v>
      </c>
    </row>
    <row r="74" spans="1:4" ht="12">
      <c r="A74" s="37" t="s">
        <v>50</v>
      </c>
      <c r="B74" s="13">
        <v>10211</v>
      </c>
      <c r="C74" s="274">
        <v>4000</v>
      </c>
      <c r="D74" s="274">
        <f>ROUND(C74/1000,0)</f>
        <v>4</v>
      </c>
    </row>
    <row r="75" spans="1:4" ht="12">
      <c r="A75" s="37" t="s">
        <v>51</v>
      </c>
      <c r="B75" s="13"/>
      <c r="C75" s="274"/>
      <c r="D75" s="274"/>
    </row>
    <row r="76" spans="1:4" ht="12">
      <c r="A76" s="37" t="s">
        <v>52</v>
      </c>
      <c r="B76" s="13"/>
      <c r="C76" s="274"/>
      <c r="D76" s="274"/>
    </row>
    <row r="77" spans="1:4" ht="12">
      <c r="A77" s="9" t="s">
        <v>47</v>
      </c>
      <c r="B77" s="13">
        <f>SUM(B72:B76)</f>
        <v>40142</v>
      </c>
      <c r="C77" s="280">
        <f>C72+C73+C74</f>
        <v>44000</v>
      </c>
      <c r="D77" s="280">
        <f>D72+D73+D74</f>
        <v>44</v>
      </c>
    </row>
    <row r="78" spans="3:4" ht="12">
      <c r="C78" s="304"/>
      <c r="D78" s="304"/>
    </row>
    <row r="79" spans="1:4" s="61" customFormat="1" ht="12">
      <c r="A79" s="37" t="s">
        <v>310</v>
      </c>
      <c r="B79" s="13" t="s">
        <v>665</v>
      </c>
      <c r="C79" s="63" t="s">
        <v>666</v>
      </c>
      <c r="D79" s="55"/>
    </row>
    <row r="80" spans="1:4" ht="12">
      <c r="A80" s="37" t="s">
        <v>1292</v>
      </c>
      <c r="B80" s="13"/>
      <c r="D80" s="55">
        <f aca="true" t="shared" si="0" ref="D80:D85">ROUND(C80/1000,0)</f>
        <v>0</v>
      </c>
    </row>
    <row r="81" spans="1:4" ht="12">
      <c r="A81" s="37" t="s">
        <v>53</v>
      </c>
      <c r="B81" s="13"/>
      <c r="D81" s="55">
        <f t="shared" si="0"/>
        <v>0</v>
      </c>
    </row>
    <row r="82" spans="1:4" ht="12">
      <c r="A82" s="37" t="s">
        <v>262</v>
      </c>
      <c r="B82" s="13"/>
      <c r="D82" s="55">
        <f t="shared" si="0"/>
        <v>0</v>
      </c>
    </row>
    <row r="83" spans="1:4" ht="12">
      <c r="A83" s="37" t="s">
        <v>633</v>
      </c>
      <c r="B83" s="13"/>
      <c r="C83" s="274"/>
      <c r="D83" s="274">
        <f t="shared" si="0"/>
        <v>0</v>
      </c>
    </row>
    <row r="84" spans="1:4" ht="12">
      <c r="A84" s="37" t="s">
        <v>482</v>
      </c>
      <c r="B84" s="13">
        <v>0</v>
      </c>
      <c r="C84" s="274">
        <v>50000</v>
      </c>
      <c r="D84" s="274">
        <f t="shared" si="0"/>
        <v>50</v>
      </c>
    </row>
    <row r="85" spans="1:4" ht="12">
      <c r="A85" s="37" t="s">
        <v>312</v>
      </c>
      <c r="B85" s="13"/>
      <c r="C85" s="274"/>
      <c r="D85" s="274">
        <f t="shared" si="0"/>
        <v>0</v>
      </c>
    </row>
    <row r="86" spans="1:4" ht="12">
      <c r="A86" s="9" t="s">
        <v>310</v>
      </c>
      <c r="B86" s="13">
        <f>SUM(B80:B85)</f>
        <v>0</v>
      </c>
      <c r="C86" s="280">
        <f>SUM(C80:C84)</f>
        <v>50000</v>
      </c>
      <c r="D86" s="280">
        <f>SUM(D80:D84)</f>
        <v>50</v>
      </c>
    </row>
    <row r="87" spans="3:4" ht="12">
      <c r="C87" s="304"/>
      <c r="D87" s="304"/>
    </row>
    <row r="88" spans="1:4" ht="12">
      <c r="A88" s="9" t="s">
        <v>314</v>
      </c>
      <c r="C88" s="304"/>
      <c r="D88" s="304"/>
    </row>
    <row r="89" spans="1:4" ht="12">
      <c r="A89" s="37" t="s">
        <v>54</v>
      </c>
      <c r="B89" s="14" t="s">
        <v>215</v>
      </c>
      <c r="C89" s="316" t="s">
        <v>317</v>
      </c>
      <c r="D89" s="274"/>
    </row>
    <row r="90" spans="1:4" ht="12">
      <c r="A90" s="37" t="s">
        <v>263</v>
      </c>
      <c r="B90" s="55">
        <f>C77+C86</f>
        <v>94000</v>
      </c>
      <c r="C90" s="274">
        <f>B90*20%</f>
        <v>18800</v>
      </c>
      <c r="D90" s="274">
        <f>ROUND(C90/1000,0)</f>
        <v>19</v>
      </c>
    </row>
    <row r="91" spans="1:4" ht="12">
      <c r="A91" s="37" t="s">
        <v>55</v>
      </c>
      <c r="C91" s="274">
        <f>SUM(C90)</f>
        <v>18800</v>
      </c>
      <c r="D91" s="274">
        <f>SUM(D90)</f>
        <v>19</v>
      </c>
    </row>
    <row r="92" spans="3:4" ht="12">
      <c r="C92" s="274"/>
      <c r="D92" s="274"/>
    </row>
    <row r="93" spans="2:4" ht="12">
      <c r="B93" s="13" t="s">
        <v>665</v>
      </c>
      <c r="C93" s="273" t="s">
        <v>666</v>
      </c>
      <c r="D93" s="304"/>
    </row>
    <row r="94" spans="1:4" ht="12">
      <c r="A94" s="37" t="s">
        <v>264</v>
      </c>
      <c r="B94" s="63"/>
      <c r="C94" s="304"/>
      <c r="D94" s="304">
        <f>ROUND(C94/1000,0)</f>
        <v>0</v>
      </c>
    </row>
    <row r="95" spans="1:4" ht="12">
      <c r="A95" s="37" t="s">
        <v>56</v>
      </c>
      <c r="C95" s="304"/>
      <c r="D95" s="304">
        <f>ROUND(C95/1000,0)</f>
        <v>0</v>
      </c>
    </row>
    <row r="96" spans="1:4" ht="12">
      <c r="A96" s="9" t="s">
        <v>314</v>
      </c>
      <c r="C96" s="304">
        <v>28000</v>
      </c>
      <c r="D96" s="304">
        <f>D91+D94+D95</f>
        <v>19</v>
      </c>
    </row>
    <row r="98" spans="1:4" ht="12">
      <c r="A98" s="61" t="s">
        <v>1445</v>
      </c>
      <c r="B98" s="226"/>
      <c r="C98" s="226">
        <f>C77+C86+C96</f>
        <v>122000</v>
      </c>
      <c r="D98" s="226">
        <f>D77+D86+D96</f>
        <v>113</v>
      </c>
    </row>
    <row r="100" spans="1:4" ht="12">
      <c r="A100" s="61" t="s">
        <v>1481</v>
      </c>
      <c r="C100" s="55">
        <v>0</v>
      </c>
      <c r="D100" s="55">
        <f>ROUND(C100/1000,0)</f>
        <v>0</v>
      </c>
    </row>
    <row r="102" ht="12">
      <c r="A102" s="61"/>
    </row>
    <row r="103" ht="12">
      <c r="A103" s="37" t="s">
        <v>57</v>
      </c>
    </row>
    <row r="104" spans="1:4" s="9" customFormat="1" ht="12">
      <c r="A104" s="37"/>
      <c r="B104" s="55"/>
      <c r="C104" s="55">
        <v>0</v>
      </c>
      <c r="D104" s="55">
        <f>ROUND(C104/1000,0)</f>
        <v>0</v>
      </c>
    </row>
    <row r="105" spans="1:4" ht="12">
      <c r="A105" s="37" t="s">
        <v>57</v>
      </c>
      <c r="C105" s="55">
        <f>SUM(C104)</f>
        <v>0</v>
      </c>
      <c r="D105" s="55">
        <f>SUM(D104)</f>
        <v>0</v>
      </c>
    </row>
    <row r="107" spans="1:4" ht="12">
      <c r="A107" s="61" t="s">
        <v>1481</v>
      </c>
      <c r="B107" s="226"/>
      <c r="C107" s="226">
        <f>C100+C104+C105</f>
        <v>0</v>
      </c>
      <c r="D107" s="226">
        <f>D100+D104+D105</f>
        <v>0</v>
      </c>
    </row>
    <row r="109" spans="1:4" ht="12">
      <c r="A109" s="145" t="s">
        <v>58</v>
      </c>
      <c r="B109" s="241"/>
      <c r="C109" s="241">
        <f>C48+C67+C98+C107</f>
        <v>1684840</v>
      </c>
      <c r="D109" s="241">
        <f>D48+D67+D98+D107</f>
        <v>1676</v>
      </c>
    </row>
    <row r="111" spans="1:4" s="9" customFormat="1" ht="12">
      <c r="A111" s="37"/>
      <c r="B111" s="55"/>
      <c r="C111" s="55"/>
      <c r="D111" s="55"/>
    </row>
    <row r="112" ht="12">
      <c r="A112" s="61" t="s">
        <v>933</v>
      </c>
    </row>
    <row r="114" spans="1:4" ht="24.75" customHeight="1">
      <c r="A114" s="363" t="s">
        <v>59</v>
      </c>
      <c r="B114" s="361"/>
      <c r="C114" s="361"/>
      <c r="D114" s="361"/>
    </row>
    <row r="116" ht="12">
      <c r="A116" s="37" t="s">
        <v>255</v>
      </c>
    </row>
    <row r="117" ht="12">
      <c r="A117" s="37" t="s">
        <v>1556</v>
      </c>
    </row>
    <row r="118" spans="1:4" s="61" customFormat="1" ht="12">
      <c r="A118" s="37"/>
      <c r="B118" s="55"/>
      <c r="C118" s="55"/>
      <c r="D118" s="55"/>
    </row>
    <row r="119" spans="1:3" ht="12">
      <c r="A119" s="61" t="s">
        <v>756</v>
      </c>
      <c r="B119" s="13"/>
      <c r="C119" s="63"/>
    </row>
    <row r="120" spans="1:4" s="61" customFormat="1" ht="12">
      <c r="A120" s="9" t="s">
        <v>757</v>
      </c>
      <c r="B120" s="13" t="s">
        <v>665</v>
      </c>
      <c r="C120" s="63" t="s">
        <v>666</v>
      </c>
      <c r="D120" s="55"/>
    </row>
    <row r="121" spans="1:4" ht="12">
      <c r="A121" s="37" t="s">
        <v>60</v>
      </c>
      <c r="B121" s="317"/>
      <c r="C121" s="304">
        <v>5000</v>
      </c>
      <c r="D121" s="304">
        <f>ROUND(C121/1000,0)</f>
        <v>5</v>
      </c>
    </row>
    <row r="122" spans="1:4" ht="12">
      <c r="A122" s="37" t="s">
        <v>61</v>
      </c>
      <c r="B122" s="318"/>
      <c r="C122" s="274">
        <v>15000</v>
      </c>
      <c r="D122" s="274">
        <f>ROUND(C122/1000,0)</f>
        <v>15</v>
      </c>
    </row>
    <row r="123" spans="1:4" ht="12">
      <c r="A123" s="9" t="s">
        <v>757</v>
      </c>
      <c r="B123" s="317">
        <f>SUM(B121:B122)</f>
        <v>0</v>
      </c>
      <c r="C123" s="280">
        <f>SUM(C121:C122)</f>
        <v>20000</v>
      </c>
      <c r="D123" s="280">
        <f>SUM(D121:D122)</f>
        <v>20</v>
      </c>
    </row>
    <row r="124" spans="2:4" ht="12">
      <c r="B124" s="319"/>
      <c r="C124" s="304"/>
      <c r="D124" s="304"/>
    </row>
    <row r="125" spans="1:4" ht="25.5" customHeight="1">
      <c r="A125" s="37" t="s">
        <v>62</v>
      </c>
      <c r="B125" s="319"/>
      <c r="C125" s="304"/>
      <c r="D125" s="304"/>
    </row>
    <row r="126" spans="1:4" ht="12">
      <c r="A126" s="37" t="s">
        <v>63</v>
      </c>
      <c r="B126" s="318">
        <v>65069</v>
      </c>
      <c r="C126" s="274">
        <v>50000</v>
      </c>
      <c r="D126" s="274">
        <f>ROUND(C126/1000,0)</f>
        <v>50</v>
      </c>
    </row>
    <row r="127" spans="1:4" ht="12">
      <c r="A127" s="37" t="s">
        <v>64</v>
      </c>
      <c r="B127" s="317">
        <v>4740</v>
      </c>
      <c r="C127" s="304">
        <v>5000</v>
      </c>
      <c r="D127" s="304">
        <f>ROUND(C127/1000,0)</f>
        <v>5</v>
      </c>
    </row>
    <row r="128" spans="1:4" ht="12">
      <c r="A128" s="37" t="s">
        <v>1079</v>
      </c>
      <c r="B128" s="318">
        <v>0</v>
      </c>
      <c r="C128" s="274"/>
      <c r="D128" s="274"/>
    </row>
    <row r="129" spans="1:4" ht="12">
      <c r="A129" s="37" t="s">
        <v>1080</v>
      </c>
      <c r="B129" s="317"/>
      <c r="C129" s="304"/>
      <c r="D129" s="304"/>
    </row>
    <row r="130" spans="1:4" ht="12">
      <c r="A130" s="9" t="s">
        <v>1081</v>
      </c>
      <c r="B130" s="318">
        <f>SUM(B126:B129)</f>
        <v>69809</v>
      </c>
      <c r="C130" s="280">
        <f>SUM(C126:C129)</f>
        <v>55000</v>
      </c>
      <c r="D130" s="280">
        <f>SUM(D126:D129)</f>
        <v>55</v>
      </c>
    </row>
    <row r="131" spans="2:4" ht="12">
      <c r="B131" s="304"/>
      <c r="C131" s="304"/>
      <c r="D131" s="304"/>
    </row>
    <row r="132" spans="1:4" ht="12">
      <c r="A132" s="37" t="s">
        <v>54</v>
      </c>
      <c r="B132" s="316" t="s">
        <v>316</v>
      </c>
      <c r="C132" s="316" t="s">
        <v>317</v>
      </c>
      <c r="D132" s="274"/>
    </row>
    <row r="133" spans="1:4" ht="12">
      <c r="A133" s="37" t="s">
        <v>266</v>
      </c>
      <c r="B133" s="274"/>
      <c r="C133" s="274">
        <f>B133*15%</f>
        <v>0</v>
      </c>
      <c r="D133" s="274">
        <f>ROUND(C133/1000,0)</f>
        <v>0</v>
      </c>
    </row>
    <row r="134" spans="1:4" ht="12">
      <c r="A134" s="37" t="s">
        <v>263</v>
      </c>
      <c r="B134" s="274">
        <f>C123+C130</f>
        <v>75000</v>
      </c>
      <c r="C134" s="274">
        <f>B134*20%</f>
        <v>15000</v>
      </c>
      <c r="D134" s="274">
        <f>ROUND(C134/1000,0)</f>
        <v>15</v>
      </c>
    </row>
    <row r="135" spans="1:4" ht="12">
      <c r="A135" s="37" t="s">
        <v>54</v>
      </c>
      <c r="B135" s="274"/>
      <c r="C135" s="274">
        <f>SUM(C133:C134)</f>
        <v>15000</v>
      </c>
      <c r="D135" s="274">
        <f>SUM(D133:D134)</f>
        <v>15</v>
      </c>
    </row>
    <row r="136" spans="2:4" ht="12">
      <c r="B136" s="274"/>
      <c r="C136" s="274"/>
      <c r="D136" s="274"/>
    </row>
    <row r="137" spans="1:4" ht="12">
      <c r="A137" s="61" t="s">
        <v>1445</v>
      </c>
      <c r="B137" s="226"/>
      <c r="C137" s="226">
        <f>C123+C130+C135</f>
        <v>90000</v>
      </c>
      <c r="D137" s="226">
        <f>D123+D130+D135</f>
        <v>90</v>
      </c>
    </row>
    <row r="139" spans="1:4" ht="12">
      <c r="A139" s="61" t="s">
        <v>1082</v>
      </c>
      <c r="B139" s="226"/>
      <c r="C139" s="226">
        <f>C137</f>
        <v>90000</v>
      </c>
      <c r="D139" s="226">
        <f>D137</f>
        <v>90</v>
      </c>
    </row>
    <row r="140" spans="1:4" s="9" customFormat="1" ht="12">
      <c r="A140" s="37"/>
      <c r="B140" s="55"/>
      <c r="C140" s="55"/>
      <c r="D140" s="55"/>
    </row>
    <row r="142" spans="1:4" s="61" customFormat="1" ht="12">
      <c r="A142" s="61" t="s">
        <v>1083</v>
      </c>
      <c r="B142" s="55"/>
      <c r="C142" s="55"/>
      <c r="D142" s="55"/>
    </row>
    <row r="144" spans="1:4" ht="12">
      <c r="A144" s="363" t="s">
        <v>1084</v>
      </c>
      <c r="B144" s="361"/>
      <c r="C144" s="361"/>
      <c r="D144" s="361"/>
    </row>
    <row r="146" ht="12">
      <c r="A146" s="37" t="s">
        <v>255</v>
      </c>
    </row>
    <row r="147" ht="12">
      <c r="A147" s="37" t="s">
        <v>1556</v>
      </c>
    </row>
    <row r="149" ht="12">
      <c r="A149" s="9" t="s">
        <v>756</v>
      </c>
    </row>
    <row r="151" spans="1:4" ht="12">
      <c r="A151" s="294" t="s">
        <v>310</v>
      </c>
      <c r="B151" s="317" t="s">
        <v>665</v>
      </c>
      <c r="C151" s="273" t="s">
        <v>666</v>
      </c>
      <c r="D151" s="304"/>
    </row>
    <row r="152" spans="1:4" ht="12">
      <c r="A152" s="313" t="s">
        <v>1085</v>
      </c>
      <c r="B152" s="318">
        <v>974252</v>
      </c>
      <c r="C152" s="274">
        <v>1000000</v>
      </c>
      <c r="D152" s="274">
        <f>ROUND(C152/1000,0)</f>
        <v>1000</v>
      </c>
    </row>
    <row r="153" spans="1:4" ht="12">
      <c r="A153" s="294" t="s">
        <v>1086</v>
      </c>
      <c r="B153" s="317">
        <v>898875</v>
      </c>
      <c r="C153" s="304">
        <v>650000</v>
      </c>
      <c r="D153" s="304">
        <f>ROUND(C153/1000,0)</f>
        <v>650</v>
      </c>
    </row>
    <row r="154" spans="1:4" ht="12">
      <c r="A154" s="313" t="s">
        <v>310</v>
      </c>
      <c r="B154" s="304"/>
      <c r="C154" s="304">
        <f>SUM(C152:C153)</f>
        <v>1650000</v>
      </c>
      <c r="D154" s="304">
        <f>SUM(D152:D153)</f>
        <v>1650</v>
      </c>
    </row>
    <row r="155" spans="1:4" ht="12">
      <c r="A155" s="313"/>
      <c r="B155" s="304"/>
      <c r="C155" s="304"/>
      <c r="D155" s="304"/>
    </row>
    <row r="156" spans="1:4" ht="12">
      <c r="A156" s="313" t="s">
        <v>1087</v>
      </c>
      <c r="B156" s="316" t="s">
        <v>316</v>
      </c>
      <c r="C156" s="316" t="s">
        <v>317</v>
      </c>
      <c r="D156" s="274"/>
    </row>
    <row r="157" spans="1:4" ht="12">
      <c r="A157" s="294" t="s">
        <v>263</v>
      </c>
      <c r="B157" s="274"/>
      <c r="C157" s="274">
        <v>340000</v>
      </c>
      <c r="D157" s="274">
        <f>ROUND(C157/1000,0)</f>
        <v>340</v>
      </c>
    </row>
    <row r="158" spans="1:4" ht="12">
      <c r="A158" s="294"/>
      <c r="B158" s="274"/>
      <c r="C158" s="274"/>
      <c r="D158" s="274"/>
    </row>
    <row r="159" spans="1:4" ht="12">
      <c r="A159" s="320" t="s">
        <v>1445</v>
      </c>
      <c r="B159" s="280"/>
      <c r="C159" s="280">
        <f>C154+C157</f>
        <v>1990000</v>
      </c>
      <c r="D159" s="280">
        <f>D154+D157</f>
        <v>1990</v>
      </c>
    </row>
    <row r="160" spans="1:4" ht="12">
      <c r="A160" s="313"/>
      <c r="B160" s="304"/>
      <c r="C160" s="304"/>
      <c r="D160" s="304"/>
    </row>
    <row r="161" spans="1:4" s="9" customFormat="1" ht="12">
      <c r="A161" s="314" t="s">
        <v>1088</v>
      </c>
      <c r="B161" s="291"/>
      <c r="C161" s="291">
        <f>C159</f>
        <v>1990000</v>
      </c>
      <c r="D161" s="291">
        <f>D159</f>
        <v>1990</v>
      </c>
    </row>
    <row r="163" spans="1:4" s="61" customFormat="1" ht="12">
      <c r="A163" s="37"/>
      <c r="B163" s="55"/>
      <c r="C163" s="55"/>
      <c r="D163" s="55"/>
    </row>
    <row r="164" spans="1:4" s="61" customFormat="1" ht="12">
      <c r="A164" s="61" t="s">
        <v>1089</v>
      </c>
      <c r="B164" s="55"/>
      <c r="C164" s="55"/>
      <c r="D164" s="55"/>
    </row>
    <row r="165" spans="1:4" s="61" customFormat="1" ht="12">
      <c r="A165" s="37"/>
      <c r="B165" s="55"/>
      <c r="C165" s="55"/>
      <c r="D165" s="55"/>
    </row>
    <row r="166" spans="1:4" s="61" customFormat="1" ht="12">
      <c r="A166" s="363" t="s">
        <v>1090</v>
      </c>
      <c r="B166" s="361"/>
      <c r="C166" s="361"/>
      <c r="D166" s="361"/>
    </row>
    <row r="167" ht="27" customHeight="1"/>
    <row r="168" spans="1:4" s="61" customFormat="1" ht="12">
      <c r="A168" s="37" t="s">
        <v>255</v>
      </c>
      <c r="B168" s="55"/>
      <c r="C168" s="55"/>
      <c r="D168" s="55"/>
    </row>
    <row r="169" spans="1:4" s="61" customFormat="1" ht="12">
      <c r="A169" s="37" t="s">
        <v>1556</v>
      </c>
      <c r="B169" s="55"/>
      <c r="C169" s="55"/>
      <c r="D169" s="55"/>
    </row>
    <row r="170" spans="1:4" s="61" customFormat="1" ht="12">
      <c r="A170" s="37"/>
      <c r="B170" s="55"/>
      <c r="C170" s="55"/>
      <c r="D170" s="55"/>
    </row>
    <row r="171" spans="1:4" s="61" customFormat="1" ht="12">
      <c r="A171" s="9" t="s">
        <v>756</v>
      </c>
      <c r="B171" s="55"/>
      <c r="C171" s="55"/>
      <c r="D171" s="55"/>
    </row>
    <row r="172" spans="1:4" s="61" customFormat="1" ht="12">
      <c r="A172" s="37" t="s">
        <v>310</v>
      </c>
      <c r="B172" s="55"/>
      <c r="C172" s="55"/>
      <c r="D172" s="55"/>
    </row>
    <row r="173" spans="1:4" s="61" customFormat="1" ht="12">
      <c r="A173" s="37" t="s">
        <v>1091</v>
      </c>
      <c r="B173" s="13" t="s">
        <v>665</v>
      </c>
      <c r="C173" s="63" t="s">
        <v>666</v>
      </c>
      <c r="D173" s="55"/>
    </row>
    <row r="174" spans="1:4" s="61" customFormat="1" ht="12">
      <c r="A174" s="294" t="s">
        <v>1092</v>
      </c>
      <c r="B174" s="273">
        <v>999807</v>
      </c>
      <c r="C174" s="304">
        <v>1600000</v>
      </c>
      <c r="D174" s="304">
        <f>ROUND(C174/1000,0)</f>
        <v>1600</v>
      </c>
    </row>
    <row r="175" spans="1:4" ht="12">
      <c r="A175" s="313" t="s">
        <v>310</v>
      </c>
      <c r="B175" s="304"/>
      <c r="C175" s="304">
        <f>SUM(C174)</f>
        <v>1600000</v>
      </c>
      <c r="D175" s="304">
        <f>SUM(D174)</f>
        <v>1600</v>
      </c>
    </row>
    <row r="176" spans="1:4" ht="12">
      <c r="A176" s="313"/>
      <c r="B176" s="304"/>
      <c r="C176" s="304"/>
      <c r="D176" s="304"/>
    </row>
    <row r="177" spans="1:4" ht="12">
      <c r="A177" s="313" t="s">
        <v>1087</v>
      </c>
      <c r="B177" s="316" t="s">
        <v>316</v>
      </c>
      <c r="C177" s="316" t="s">
        <v>317</v>
      </c>
      <c r="D177" s="274"/>
    </row>
    <row r="178" spans="1:4" ht="12">
      <c r="A178" s="294" t="s">
        <v>267</v>
      </c>
      <c r="B178" s="274"/>
      <c r="C178" s="274">
        <v>400000</v>
      </c>
      <c r="D178" s="274">
        <f>ROUND(C178/1000,0)</f>
        <v>400</v>
      </c>
    </row>
    <row r="179" spans="1:4" ht="12">
      <c r="A179" s="294"/>
      <c r="B179" s="274"/>
      <c r="C179" s="274"/>
      <c r="D179" s="274"/>
    </row>
    <row r="180" spans="1:4" ht="12">
      <c r="A180" s="320" t="s">
        <v>1445</v>
      </c>
      <c r="B180" s="280"/>
      <c r="C180" s="280">
        <f>C175+C178</f>
        <v>2000000</v>
      </c>
      <c r="D180" s="280">
        <f>D175+D178</f>
        <v>2000</v>
      </c>
    </row>
    <row r="181" spans="1:4" ht="12">
      <c r="A181" s="313"/>
      <c r="B181" s="304"/>
      <c r="C181" s="304"/>
      <c r="D181" s="304"/>
    </row>
    <row r="182" spans="1:4" s="9" customFormat="1" ht="12">
      <c r="A182" s="61" t="s">
        <v>1093</v>
      </c>
      <c r="B182" s="226"/>
      <c r="C182" s="226">
        <f>C180</f>
        <v>2000000</v>
      </c>
      <c r="D182" s="226">
        <f>D180</f>
        <v>2000</v>
      </c>
    </row>
    <row r="183" spans="1:4" ht="12">
      <c r="A183" s="61"/>
      <c r="B183" s="226"/>
      <c r="C183" s="226"/>
      <c r="D183" s="226"/>
    </row>
    <row r="184" spans="1:4" s="61" customFormat="1" ht="12">
      <c r="A184" s="61" t="s">
        <v>745</v>
      </c>
      <c r="B184" s="226"/>
      <c r="C184" s="226"/>
      <c r="D184" s="226"/>
    </row>
    <row r="185" spans="1:4" ht="12">
      <c r="A185" s="61"/>
      <c r="B185" s="226"/>
      <c r="C185" s="226"/>
      <c r="D185" s="226"/>
    </row>
    <row r="186" spans="1:4" s="145" customFormat="1" ht="12">
      <c r="A186" s="363" t="s">
        <v>292</v>
      </c>
      <c r="B186" s="361"/>
      <c r="C186" s="361"/>
      <c r="D186" s="361"/>
    </row>
    <row r="187" spans="1:4" ht="12">
      <c r="A187" s="61"/>
      <c r="B187" s="226"/>
      <c r="C187" s="226"/>
      <c r="D187" s="226"/>
    </row>
    <row r="188" spans="1:4" ht="12">
      <c r="A188" s="37" t="s">
        <v>255</v>
      </c>
      <c r="B188" s="226"/>
      <c r="C188" s="226"/>
      <c r="D188" s="226"/>
    </row>
    <row r="189" spans="1:4" ht="12">
      <c r="A189" s="37" t="s">
        <v>1556</v>
      </c>
      <c r="B189" s="226"/>
      <c r="C189" s="226"/>
      <c r="D189" s="226"/>
    </row>
    <row r="190" spans="2:4" ht="12">
      <c r="B190" s="226"/>
      <c r="C190" s="226"/>
      <c r="D190" s="226"/>
    </row>
    <row r="191" spans="1:4" ht="12">
      <c r="A191" s="9" t="s">
        <v>756</v>
      </c>
      <c r="B191" s="226"/>
      <c r="C191" s="226"/>
      <c r="D191" s="226"/>
    </row>
    <row r="193" spans="1:4" ht="12">
      <c r="A193" s="37" t="s">
        <v>310</v>
      </c>
      <c r="B193" s="226"/>
      <c r="C193" s="226"/>
      <c r="D193" s="226"/>
    </row>
    <row r="194" spans="1:4" ht="12">
      <c r="A194" s="37" t="s">
        <v>293</v>
      </c>
      <c r="B194" s="317" t="s">
        <v>665</v>
      </c>
      <c r="C194" s="273" t="s">
        <v>666</v>
      </c>
      <c r="D194" s="304"/>
    </row>
    <row r="195" spans="2:4" ht="12">
      <c r="B195" s="304"/>
      <c r="C195" s="304">
        <v>126000</v>
      </c>
      <c r="D195" s="304">
        <f>ROUND(C195/1000,0)</f>
        <v>126</v>
      </c>
    </row>
    <row r="196" spans="1:4" ht="12">
      <c r="A196" s="37" t="s">
        <v>310</v>
      </c>
      <c r="B196" s="304"/>
      <c r="C196" s="304">
        <f>SUM(C195)</f>
        <v>126000</v>
      </c>
      <c r="D196" s="304">
        <f>SUM(D195)</f>
        <v>126</v>
      </c>
    </row>
    <row r="197" spans="2:4" ht="12">
      <c r="B197" s="304"/>
      <c r="C197" s="304"/>
      <c r="D197" s="304"/>
    </row>
    <row r="198" spans="1:4" ht="12">
      <c r="A198" s="37" t="s">
        <v>1087</v>
      </c>
      <c r="B198" s="316" t="s">
        <v>316</v>
      </c>
      <c r="C198" s="316" t="s">
        <v>317</v>
      </c>
      <c r="D198" s="274"/>
    </row>
    <row r="199" spans="1:4" ht="12">
      <c r="A199" s="37" t="s">
        <v>267</v>
      </c>
      <c r="B199" s="274">
        <f>C196</f>
        <v>126000</v>
      </c>
      <c r="C199" s="274">
        <f>B199*20%</f>
        <v>25200</v>
      </c>
      <c r="D199" s="274">
        <f>ROUND(C199/1000,0)</f>
        <v>25</v>
      </c>
    </row>
    <row r="200" spans="2:4" ht="12">
      <c r="B200" s="274"/>
      <c r="C200" s="274"/>
      <c r="D200" s="274"/>
    </row>
    <row r="201" spans="1:4" ht="12">
      <c r="A201" s="9" t="s">
        <v>1445</v>
      </c>
      <c r="B201" s="280"/>
      <c r="C201" s="280">
        <f>C196+C199</f>
        <v>151200</v>
      </c>
      <c r="D201" s="280">
        <f>D196+D199</f>
        <v>151</v>
      </c>
    </row>
    <row r="202" spans="2:4" ht="12">
      <c r="B202" s="304"/>
      <c r="C202" s="304"/>
      <c r="D202" s="304"/>
    </row>
    <row r="203" spans="1:4" ht="12">
      <c r="A203" s="61" t="s">
        <v>294</v>
      </c>
      <c r="B203" s="226"/>
      <c r="C203" s="226">
        <f>C201</f>
        <v>151200</v>
      </c>
      <c r="D203" s="226">
        <f>D201</f>
        <v>151</v>
      </c>
    </row>
    <row r="204" ht="12">
      <c r="A204" s="61"/>
    </row>
    <row r="205" spans="1:4" ht="12">
      <c r="A205" s="145" t="s">
        <v>1094</v>
      </c>
      <c r="B205" s="241"/>
      <c r="C205" s="241">
        <f>C19+C109+C139+C161+C182+C203</f>
        <v>5916040</v>
      </c>
      <c r="D205" s="241">
        <f>D19+D109+D139+D161+D182+D203</f>
        <v>5907</v>
      </c>
    </row>
  </sheetData>
  <sheetProtection/>
  <mergeCells count="6">
    <mergeCell ref="A186:D186"/>
    <mergeCell ref="A166:D166"/>
    <mergeCell ref="A3:D3"/>
    <mergeCell ref="A24:D24"/>
    <mergeCell ref="A114:D114"/>
    <mergeCell ref="A144:D144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KÖLTSÉGVETÉSE&amp;R&amp;"Arial,Dőlt"&amp;8Település üzemeltetés</oddHeader>
    <oddFooter>&amp;C&amp;"Arial,Dőlt"&amp;8&amp;P. oldal</oddFooter>
  </headerFooter>
  <rowBreaks count="2" manualBreakCount="2">
    <brk id="61" max="255" man="1"/>
    <brk id="1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93"/>
  <sheetViews>
    <sheetView zoomScalePageLayoutView="0" workbookViewId="0" topLeftCell="A292">
      <selection activeCell="E80" sqref="E80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145" t="s">
        <v>484</v>
      </c>
    </row>
    <row r="2" ht="12">
      <c r="A2" s="145"/>
    </row>
    <row r="3" ht="12">
      <c r="A3" s="61" t="s">
        <v>1294</v>
      </c>
    </row>
    <row r="5" spans="1:4" ht="39" customHeight="1">
      <c r="A5" s="363" t="s">
        <v>351</v>
      </c>
      <c r="B5" s="361"/>
      <c r="C5" s="361"/>
      <c r="D5" s="361"/>
    </row>
    <row r="7" ht="12">
      <c r="A7" s="37" t="s">
        <v>255</v>
      </c>
    </row>
    <row r="8" ht="12">
      <c r="A8" s="37" t="s">
        <v>1556</v>
      </c>
    </row>
    <row r="13" ht="12">
      <c r="A13" s="9" t="s">
        <v>257</v>
      </c>
    </row>
    <row r="14" ht="12">
      <c r="A14" s="37" t="s">
        <v>258</v>
      </c>
    </row>
    <row r="15" ht="12">
      <c r="A15" s="37" t="s">
        <v>245</v>
      </c>
    </row>
    <row r="16" ht="12">
      <c r="A16" s="37" t="s">
        <v>1058</v>
      </c>
    </row>
    <row r="17" ht="12">
      <c r="A17" s="37" t="s">
        <v>513</v>
      </c>
    </row>
    <row r="18" ht="12">
      <c r="A18" s="37" t="s">
        <v>516</v>
      </c>
    </row>
    <row r="19" ht="12">
      <c r="A19" s="37" t="s">
        <v>517</v>
      </c>
    </row>
    <row r="20" ht="12">
      <c r="A20" s="37" t="s">
        <v>518</v>
      </c>
    </row>
    <row r="21" ht="12">
      <c r="A21" s="37" t="s">
        <v>1060</v>
      </c>
    </row>
    <row r="22" spans="2:4" ht="12">
      <c r="B22" s="273" t="s">
        <v>1300</v>
      </c>
      <c r="C22" s="273" t="s">
        <v>1301</v>
      </c>
      <c r="D22" s="304"/>
    </row>
    <row r="23" spans="1:4" ht="12">
      <c r="A23" s="37" t="s">
        <v>1061</v>
      </c>
      <c r="B23" s="304">
        <f>B19*B20</f>
        <v>0</v>
      </c>
      <c r="C23" s="304">
        <f>B23*4</f>
        <v>0</v>
      </c>
      <c r="D23" s="304">
        <f>ROUND(C23/1000,0)</f>
        <v>0</v>
      </c>
    </row>
    <row r="24" spans="1:4" ht="12">
      <c r="A24" s="37" t="s">
        <v>1141</v>
      </c>
      <c r="B24" s="304"/>
      <c r="C24" s="304"/>
      <c r="D24" s="304"/>
    </row>
    <row r="25" spans="1:4" ht="12">
      <c r="A25" s="251" t="s">
        <v>1059</v>
      </c>
      <c r="B25" s="304">
        <v>2</v>
      </c>
      <c r="C25" s="304"/>
      <c r="D25" s="304"/>
    </row>
    <row r="26" spans="1:4" ht="12">
      <c r="A26" s="37" t="s">
        <v>1062</v>
      </c>
      <c r="B26" s="304">
        <v>52500</v>
      </c>
      <c r="C26" s="304"/>
      <c r="D26" s="304"/>
    </row>
    <row r="27" spans="1:4" ht="12">
      <c r="A27" s="37" t="s">
        <v>1063</v>
      </c>
      <c r="B27" s="304">
        <v>2</v>
      </c>
      <c r="C27" s="304"/>
      <c r="D27" s="304"/>
    </row>
    <row r="28" spans="2:4" ht="12">
      <c r="B28" s="312" t="s">
        <v>1300</v>
      </c>
      <c r="C28" s="312" t="s">
        <v>1301</v>
      </c>
      <c r="D28" s="274"/>
    </row>
    <row r="29" spans="2:4" ht="12">
      <c r="B29" s="274">
        <f>B25*B26</f>
        <v>105000</v>
      </c>
      <c r="C29" s="274">
        <f>B29*B27</f>
        <v>210000</v>
      </c>
      <c r="D29" s="274">
        <f>ROUND(C29/1000,0)</f>
        <v>210</v>
      </c>
    </row>
    <row r="30" spans="2:4" ht="12">
      <c r="B30" s="274"/>
      <c r="C30" s="274"/>
      <c r="D30" s="274"/>
    </row>
    <row r="31" spans="1:4" ht="12">
      <c r="A31" s="37" t="s">
        <v>164</v>
      </c>
      <c r="B31" s="274"/>
      <c r="C31" s="274"/>
      <c r="D31" s="274"/>
    </row>
    <row r="32" spans="1:4" ht="12">
      <c r="A32" s="251" t="s">
        <v>1064</v>
      </c>
      <c r="B32" s="274"/>
      <c r="C32" s="274"/>
      <c r="D32" s="274"/>
    </row>
    <row r="33" spans="1:4" ht="12">
      <c r="A33" s="37" t="s">
        <v>1062</v>
      </c>
      <c r="B33" s="274"/>
      <c r="C33" s="274"/>
      <c r="D33" s="274"/>
    </row>
    <row r="34" spans="1:4" ht="12">
      <c r="A34" s="37" t="s">
        <v>1063</v>
      </c>
      <c r="B34" s="322"/>
      <c r="C34" s="274"/>
      <c r="D34" s="274"/>
    </row>
    <row r="35" spans="2:4" ht="12">
      <c r="B35" s="273" t="s">
        <v>1300</v>
      </c>
      <c r="C35" s="273" t="s">
        <v>1301</v>
      </c>
      <c r="D35" s="304"/>
    </row>
    <row r="36" spans="2:4" ht="12">
      <c r="B36" s="304">
        <f>B32*B33</f>
        <v>0</v>
      </c>
      <c r="C36" s="304">
        <f>B36*B34</f>
        <v>0</v>
      </c>
      <c r="D36" s="304">
        <f>ROUND(C36/1000,0)</f>
        <v>0</v>
      </c>
    </row>
    <row r="37" spans="2:4" ht="12">
      <c r="B37" s="304"/>
      <c r="C37" s="304"/>
      <c r="D37" s="304"/>
    </row>
    <row r="38" spans="1:4" ht="12">
      <c r="A38" s="37" t="s">
        <v>1065</v>
      </c>
      <c r="B38" s="304"/>
      <c r="C38" s="304">
        <f>C23+C29+C36</f>
        <v>210000</v>
      </c>
      <c r="D38" s="304">
        <f>D23+D29+D36</f>
        <v>210</v>
      </c>
    </row>
    <row r="39" spans="2:4" ht="12">
      <c r="B39" s="304"/>
      <c r="C39" s="304"/>
      <c r="D39" s="304"/>
    </row>
    <row r="40" spans="2:4" ht="12">
      <c r="B40" s="304"/>
      <c r="C40" s="304"/>
      <c r="D40" s="304"/>
    </row>
    <row r="41" spans="1:4" ht="12">
      <c r="A41" s="37" t="s">
        <v>519</v>
      </c>
      <c r="B41" s="304"/>
      <c r="C41" s="304"/>
      <c r="D41" s="304"/>
    </row>
    <row r="42" spans="1:4" ht="12">
      <c r="A42" s="37" t="s">
        <v>399</v>
      </c>
      <c r="B42" s="304">
        <f>állt!D32</f>
        <v>4215598</v>
      </c>
      <c r="C42" s="304"/>
      <c r="D42" s="304"/>
    </row>
    <row r="43" spans="1:4" ht="12">
      <c r="A43" s="37" t="s">
        <v>400</v>
      </c>
      <c r="B43" s="304">
        <v>3900</v>
      </c>
      <c r="C43" s="304"/>
      <c r="D43" s="304"/>
    </row>
    <row r="44" spans="1:4" ht="12">
      <c r="A44" s="37" t="s">
        <v>401</v>
      </c>
      <c r="B44" s="304">
        <f>B42/B43</f>
        <v>1080.9225641025641</v>
      </c>
      <c r="C44" s="304"/>
      <c r="D44" s="304"/>
    </row>
    <row r="45" spans="1:4" ht="12">
      <c r="A45" s="37" t="s">
        <v>402</v>
      </c>
      <c r="B45" s="304">
        <v>238</v>
      </c>
      <c r="C45" s="304"/>
      <c r="D45" s="304"/>
    </row>
    <row r="46" spans="1:4" ht="12">
      <c r="A46" s="37" t="s">
        <v>1319</v>
      </c>
      <c r="B46" s="323">
        <f>B44/B45</f>
        <v>4.541691445809093</v>
      </c>
      <c r="C46" s="304"/>
      <c r="D46" s="304"/>
    </row>
    <row r="47" spans="1:4" ht="12">
      <c r="A47" s="37" t="s">
        <v>1320</v>
      </c>
      <c r="B47" s="304">
        <v>5</v>
      </c>
      <c r="C47" s="304"/>
      <c r="D47" s="304"/>
    </row>
    <row r="48" spans="1:4" ht="12">
      <c r="A48" s="37" t="s">
        <v>1066</v>
      </c>
      <c r="B48" s="304">
        <v>51750</v>
      </c>
      <c r="C48" s="304"/>
      <c r="D48" s="304"/>
    </row>
    <row r="49" spans="1:4" ht="12">
      <c r="A49" s="37" t="s">
        <v>519</v>
      </c>
      <c r="B49" s="304"/>
      <c r="C49" s="304">
        <f>B48*B47*11</f>
        <v>2846250</v>
      </c>
      <c r="D49" s="304">
        <f>ROUND(C49/1000,0)</f>
        <v>2846</v>
      </c>
    </row>
    <row r="50" spans="2:4" ht="12">
      <c r="B50" s="304"/>
      <c r="C50" s="304"/>
      <c r="D50" s="304"/>
    </row>
    <row r="51" spans="1:4" ht="12">
      <c r="A51" s="37" t="s">
        <v>513</v>
      </c>
      <c r="B51" s="304">
        <v>56250</v>
      </c>
      <c r="C51" s="304">
        <v>2760000</v>
      </c>
      <c r="D51" s="304">
        <v>2816</v>
      </c>
    </row>
    <row r="52" spans="2:4" ht="12">
      <c r="B52" s="304"/>
      <c r="C52" s="304"/>
      <c r="D52" s="304"/>
    </row>
    <row r="53" spans="1:4" ht="12">
      <c r="A53" s="37" t="s">
        <v>258</v>
      </c>
      <c r="B53" s="304"/>
      <c r="C53" s="304">
        <f>C51+B51</f>
        <v>2816250</v>
      </c>
      <c r="D53" s="304">
        <f>D51</f>
        <v>2816</v>
      </c>
    </row>
    <row r="54" spans="2:4" ht="12">
      <c r="B54" s="304"/>
      <c r="C54" s="304"/>
      <c r="D54" s="304"/>
    </row>
    <row r="55" spans="1:4" s="9" customFormat="1" ht="12">
      <c r="A55" s="9" t="s">
        <v>753</v>
      </c>
      <c r="B55" s="324"/>
      <c r="C55" s="324">
        <v>2871000</v>
      </c>
      <c r="D55" s="324">
        <v>2871</v>
      </c>
    </row>
    <row r="56" spans="2:4" ht="12">
      <c r="B56" s="274"/>
      <c r="C56" s="274"/>
      <c r="D56" s="274"/>
    </row>
    <row r="57" spans="1:4" ht="12">
      <c r="A57" s="9" t="s">
        <v>1315</v>
      </c>
      <c r="B57" s="274"/>
      <c r="C57" s="274"/>
      <c r="D57" s="274"/>
    </row>
    <row r="58" spans="1:4" ht="12">
      <c r="A58" s="37" t="s">
        <v>755</v>
      </c>
      <c r="B58" s="273" t="s">
        <v>1316</v>
      </c>
      <c r="C58" s="273" t="s">
        <v>599</v>
      </c>
      <c r="D58" s="304"/>
    </row>
    <row r="59" spans="1:4" ht="12">
      <c r="A59" s="37" t="s">
        <v>600</v>
      </c>
      <c r="B59" s="304">
        <f>C55</f>
        <v>2871000</v>
      </c>
      <c r="C59" s="304">
        <v>733500</v>
      </c>
      <c r="D59" s="304">
        <f>ROUND(C59/1000,0)</f>
        <v>734</v>
      </c>
    </row>
    <row r="60" spans="1:4" s="9" customFormat="1" ht="12">
      <c r="A60" s="37"/>
      <c r="B60" s="312" t="s">
        <v>1316</v>
      </c>
      <c r="C60" s="312" t="s">
        <v>601</v>
      </c>
      <c r="D60" s="274"/>
    </row>
    <row r="61" spans="1:4" ht="12">
      <c r="A61" s="37" t="s">
        <v>602</v>
      </c>
      <c r="B61" s="274">
        <f>C55</f>
        <v>2871000</v>
      </c>
      <c r="C61" s="274">
        <v>137531</v>
      </c>
      <c r="D61" s="274">
        <f>ROUND(C61/1000,0)</f>
        <v>138</v>
      </c>
    </row>
    <row r="62" spans="1:4" s="61" customFormat="1" ht="12">
      <c r="A62" s="37"/>
      <c r="B62" s="273" t="s">
        <v>1316</v>
      </c>
      <c r="C62" s="273" t="s">
        <v>604</v>
      </c>
      <c r="D62" s="304"/>
    </row>
    <row r="63" spans="1:4" ht="12">
      <c r="A63" s="37" t="s">
        <v>603</v>
      </c>
      <c r="B63" s="304">
        <f>C55</f>
        <v>2871000</v>
      </c>
      <c r="C63" s="304">
        <v>13281</v>
      </c>
      <c r="D63" s="304">
        <v>13</v>
      </c>
    </row>
    <row r="64" spans="1:4" ht="12">
      <c r="A64" s="37" t="s">
        <v>605</v>
      </c>
      <c r="B64" s="304"/>
      <c r="C64" s="304">
        <f>C59+C61+C63</f>
        <v>884312</v>
      </c>
      <c r="D64" s="304">
        <f>D59+D61+D63</f>
        <v>885</v>
      </c>
    </row>
    <row r="65" spans="2:4" ht="12">
      <c r="B65" s="304"/>
      <c r="C65" s="304"/>
      <c r="D65" s="304"/>
    </row>
    <row r="66" spans="2:4" ht="12">
      <c r="B66" s="312" t="s">
        <v>1316</v>
      </c>
      <c r="C66" s="312" t="s">
        <v>1317</v>
      </c>
      <c r="D66" s="274"/>
    </row>
    <row r="67" spans="1:4" ht="12">
      <c r="A67" s="37" t="s">
        <v>1318</v>
      </c>
      <c r="B67" s="274">
        <f>C55</f>
        <v>2871000</v>
      </c>
      <c r="C67" s="274">
        <v>90688</v>
      </c>
      <c r="D67" s="274">
        <v>91</v>
      </c>
    </row>
    <row r="68" spans="2:4" ht="12">
      <c r="B68" s="274"/>
      <c r="C68" s="274"/>
      <c r="D68" s="274"/>
    </row>
    <row r="69" spans="1:4" ht="12">
      <c r="A69" s="37" t="s">
        <v>301</v>
      </c>
      <c r="B69" s="274"/>
      <c r="C69" s="274"/>
      <c r="D69" s="274"/>
    </row>
    <row r="70" spans="1:4" ht="12">
      <c r="A70" s="37" t="s">
        <v>302</v>
      </c>
      <c r="B70" s="274">
        <v>5</v>
      </c>
      <c r="C70" s="274"/>
      <c r="D70" s="274"/>
    </row>
    <row r="71" spans="1:4" ht="12">
      <c r="A71" s="37" t="s">
        <v>706</v>
      </c>
      <c r="B71" s="274">
        <f>1950*0.75</f>
        <v>1462.5</v>
      </c>
      <c r="C71" s="274">
        <f>B70*B71*11</f>
        <v>80437.5</v>
      </c>
      <c r="D71" s="274"/>
    </row>
    <row r="72" spans="2:4" ht="12">
      <c r="B72" s="292" t="s">
        <v>620</v>
      </c>
      <c r="C72" s="292" t="s">
        <v>1126</v>
      </c>
      <c r="D72" s="304"/>
    </row>
    <row r="73" spans="1:4" ht="12">
      <c r="A73" s="37" t="s">
        <v>1125</v>
      </c>
      <c r="B73" s="304">
        <f>C47+C52</f>
        <v>0</v>
      </c>
      <c r="C73" s="304">
        <f>B73*11%</f>
        <v>0</v>
      </c>
      <c r="D73" s="304"/>
    </row>
    <row r="74" spans="1:4" ht="12">
      <c r="A74" s="37" t="s">
        <v>301</v>
      </c>
      <c r="B74" s="304"/>
      <c r="C74" s="304">
        <v>89290</v>
      </c>
      <c r="D74" s="304">
        <v>89</v>
      </c>
    </row>
    <row r="75" spans="1:4" ht="12">
      <c r="A75" s="9"/>
      <c r="B75" s="304"/>
      <c r="C75" s="304"/>
      <c r="D75" s="304"/>
    </row>
    <row r="76" spans="1:4" s="61" customFormat="1" ht="12">
      <c r="A76" s="37"/>
      <c r="B76" s="304"/>
      <c r="C76" s="304"/>
      <c r="D76" s="304"/>
    </row>
    <row r="77" spans="1:4" ht="12">
      <c r="A77" s="9" t="s">
        <v>1315</v>
      </c>
      <c r="B77" s="324"/>
      <c r="C77" s="324">
        <f>C64+C67+C74</f>
        <v>1064290</v>
      </c>
      <c r="D77" s="324">
        <f>D64+D67+D74</f>
        <v>1065</v>
      </c>
    </row>
    <row r="78" spans="2:4" ht="12">
      <c r="B78" s="274"/>
      <c r="C78" s="274"/>
      <c r="D78" s="274"/>
    </row>
    <row r="79" spans="1:4" ht="12">
      <c r="A79" s="61" t="s">
        <v>1321</v>
      </c>
      <c r="B79" s="291"/>
      <c r="C79" s="291">
        <f>C55+C77</f>
        <v>3935290</v>
      </c>
      <c r="D79" s="291">
        <f>D55+D77</f>
        <v>3936</v>
      </c>
    </row>
    <row r="80" ht="26.25" customHeight="1"/>
    <row r="81" ht="12">
      <c r="A81" s="61" t="s">
        <v>1323</v>
      </c>
    </row>
    <row r="83" spans="1:4" ht="12">
      <c r="A83" s="363" t="s">
        <v>1256</v>
      </c>
      <c r="B83" s="361"/>
      <c r="C83" s="361"/>
      <c r="D83" s="361"/>
    </row>
    <row r="85" ht="12">
      <c r="A85" s="37" t="s">
        <v>255</v>
      </c>
    </row>
    <row r="86" ht="12">
      <c r="A86" s="37" t="s">
        <v>1556</v>
      </c>
    </row>
    <row r="88" spans="1:3" ht="12">
      <c r="A88" s="37" t="s">
        <v>1325</v>
      </c>
      <c r="B88" s="13" t="s">
        <v>665</v>
      </c>
      <c r="C88" s="273" t="s">
        <v>666</v>
      </c>
    </row>
    <row r="89" spans="1:4" ht="12">
      <c r="A89" s="37" t="s">
        <v>825</v>
      </c>
      <c r="B89" s="243"/>
      <c r="C89" s="274">
        <v>1991000</v>
      </c>
      <c r="D89" s="274"/>
    </row>
    <row r="90" spans="1:4" ht="12">
      <c r="A90" s="37" t="s">
        <v>826</v>
      </c>
      <c r="B90" s="243"/>
      <c r="C90" s="274">
        <v>586000</v>
      </c>
      <c r="D90" s="274"/>
    </row>
    <row r="91" spans="1:4" ht="12">
      <c r="A91" s="37" t="s">
        <v>1159</v>
      </c>
      <c r="C91" s="274">
        <f>SUM(C89:C90)</f>
        <v>2577000</v>
      </c>
      <c r="D91" s="274">
        <f>ROUND(C91/1000,0)</f>
        <v>2577</v>
      </c>
    </row>
    <row r="93" spans="1:4" ht="12">
      <c r="A93" s="61" t="s">
        <v>1326</v>
      </c>
      <c r="B93" s="226"/>
      <c r="C93" s="226">
        <f>C91</f>
        <v>2577000</v>
      </c>
      <c r="D93" s="226">
        <f>D91</f>
        <v>2577</v>
      </c>
    </row>
    <row r="95" ht="12">
      <c r="A95" s="61" t="s">
        <v>1327</v>
      </c>
    </row>
    <row r="97" spans="1:4" s="9" customFormat="1" ht="12">
      <c r="A97" s="363" t="s">
        <v>1328</v>
      </c>
      <c r="B97" s="361"/>
      <c r="C97" s="361"/>
      <c r="D97" s="361"/>
    </row>
    <row r="99" ht="12">
      <c r="A99" s="37" t="s">
        <v>255</v>
      </c>
    </row>
    <row r="100" ht="12">
      <c r="A100" s="37" t="s">
        <v>1556</v>
      </c>
    </row>
    <row r="102" ht="12">
      <c r="A102" s="61" t="s">
        <v>257</v>
      </c>
    </row>
    <row r="103" ht="12">
      <c r="A103" s="9" t="s">
        <v>197</v>
      </c>
    </row>
    <row r="104" ht="12">
      <c r="A104" s="9" t="s">
        <v>258</v>
      </c>
    </row>
    <row r="105" ht="12">
      <c r="A105" s="37" t="s">
        <v>1329</v>
      </c>
    </row>
    <row r="106" spans="2:3" ht="12">
      <c r="B106" s="14" t="s">
        <v>1300</v>
      </c>
      <c r="C106" s="14" t="s">
        <v>1301</v>
      </c>
    </row>
    <row r="107" spans="1:3" ht="12">
      <c r="A107" s="37" t="s">
        <v>198</v>
      </c>
      <c r="B107" s="242">
        <f>kab!I13</f>
        <v>119200</v>
      </c>
      <c r="C107" s="242">
        <f>B107*1</f>
        <v>119200</v>
      </c>
    </row>
    <row r="108" spans="1:3" ht="12">
      <c r="A108" s="37" t="s">
        <v>199</v>
      </c>
      <c r="B108" s="55">
        <f>kab!H13</f>
        <v>126300</v>
      </c>
      <c r="C108" s="55">
        <f>B108*8</f>
        <v>1010400</v>
      </c>
    </row>
    <row r="109" spans="1:3" ht="12">
      <c r="A109" s="37" t="s">
        <v>200</v>
      </c>
      <c r="B109" s="55">
        <f>kab!$H$15</f>
        <v>126300</v>
      </c>
      <c r="C109" s="55">
        <f>B109*1</f>
        <v>126300</v>
      </c>
    </row>
    <row r="110" spans="1:4" ht="12">
      <c r="A110" s="37" t="s">
        <v>1330</v>
      </c>
      <c r="C110" s="55">
        <f>SUM(C107:C109)</f>
        <v>1255900</v>
      </c>
      <c r="D110" s="55">
        <f>ROUND(C110/1000,0)</f>
        <v>1256</v>
      </c>
    </row>
    <row r="112" spans="1:4" s="9" customFormat="1" ht="12">
      <c r="A112" s="37" t="s">
        <v>1331</v>
      </c>
      <c r="B112" s="55">
        <v>0</v>
      </c>
      <c r="C112" s="55">
        <v>0</v>
      </c>
      <c r="D112" s="55">
        <v>0</v>
      </c>
    </row>
    <row r="114" spans="1:4" s="61" customFormat="1" ht="12">
      <c r="A114" s="9" t="s">
        <v>258</v>
      </c>
      <c r="B114" s="243"/>
      <c r="C114" s="243">
        <v>1635000</v>
      </c>
      <c r="D114" s="243">
        <v>1635</v>
      </c>
    </row>
    <row r="116" ht="12">
      <c r="A116" s="9" t="s">
        <v>1303</v>
      </c>
    </row>
    <row r="118" spans="1:3" ht="12">
      <c r="A118" s="37" t="s">
        <v>1307</v>
      </c>
      <c r="B118" s="55" t="s">
        <v>1300</v>
      </c>
      <c r="C118" s="55" t="s">
        <v>1301</v>
      </c>
    </row>
    <row r="119" spans="1:4" ht="12">
      <c r="A119" s="37" t="s">
        <v>1332</v>
      </c>
      <c r="B119" s="274">
        <v>10000</v>
      </c>
      <c r="C119" s="274">
        <f>B119*12</f>
        <v>120000</v>
      </c>
      <c r="D119" s="274">
        <f>ROUND(C119/1000,0)</f>
        <v>120</v>
      </c>
    </row>
    <row r="120" spans="1:4" ht="12">
      <c r="A120" s="9" t="s">
        <v>1157</v>
      </c>
      <c r="B120" s="274"/>
      <c r="C120" s="274">
        <f>SUM(C119)</f>
        <v>120000</v>
      </c>
      <c r="D120" s="274">
        <f>SUM(D119)</f>
        <v>120</v>
      </c>
    </row>
    <row r="121" spans="2:4" ht="12">
      <c r="B121" s="274"/>
      <c r="C121" s="274"/>
      <c r="D121" s="274"/>
    </row>
    <row r="122" spans="1:4" ht="12">
      <c r="A122" s="37" t="s">
        <v>1311</v>
      </c>
      <c r="B122" s="274"/>
      <c r="C122" s="274"/>
      <c r="D122" s="274"/>
    </row>
    <row r="123" spans="1:4" ht="12">
      <c r="A123" s="37" t="s">
        <v>1312</v>
      </c>
      <c r="B123" s="274">
        <v>1</v>
      </c>
      <c r="C123" s="274"/>
      <c r="D123" s="274"/>
    </row>
    <row r="124" spans="1:4" ht="12">
      <c r="A124" s="37" t="s">
        <v>1333</v>
      </c>
      <c r="B124" s="274">
        <v>12000</v>
      </c>
      <c r="C124" s="274"/>
      <c r="D124" s="274"/>
    </row>
    <row r="125" spans="1:4" ht="12">
      <c r="A125" s="37" t="s">
        <v>1311</v>
      </c>
      <c r="B125" s="274"/>
      <c r="C125" s="274"/>
      <c r="D125" s="274">
        <f>ROUND(C125/1000,0)</f>
        <v>0</v>
      </c>
    </row>
    <row r="126" spans="2:4" ht="12">
      <c r="B126" s="274"/>
      <c r="C126" s="274"/>
      <c r="D126" s="274"/>
    </row>
    <row r="127" spans="1:4" ht="12">
      <c r="A127" s="37" t="s">
        <v>1313</v>
      </c>
      <c r="B127" s="274"/>
      <c r="C127" s="274">
        <f>C119+C125</f>
        <v>120000</v>
      </c>
      <c r="D127" s="274">
        <f>D119+D125</f>
        <v>120</v>
      </c>
    </row>
    <row r="128" spans="1:4" s="61" customFormat="1" ht="12">
      <c r="A128" s="37"/>
      <c r="B128" s="274"/>
      <c r="C128" s="274"/>
      <c r="D128" s="274"/>
    </row>
    <row r="129" spans="1:4" ht="12">
      <c r="A129" s="9" t="s">
        <v>1303</v>
      </c>
      <c r="B129" s="280"/>
      <c r="C129" s="280">
        <f>C127</f>
        <v>120000</v>
      </c>
      <c r="D129" s="280">
        <f>D127</f>
        <v>120</v>
      </c>
    </row>
    <row r="130" spans="2:4" ht="12">
      <c r="B130" s="304"/>
      <c r="C130" s="304"/>
      <c r="D130" s="304"/>
    </row>
    <row r="131" spans="1:4" ht="12">
      <c r="A131" s="61" t="s">
        <v>1314</v>
      </c>
      <c r="B131" s="226"/>
      <c r="C131" s="226">
        <f>C114+C129</f>
        <v>1755000</v>
      </c>
      <c r="D131" s="226">
        <f>D114+D129</f>
        <v>1755</v>
      </c>
    </row>
    <row r="133" ht="12">
      <c r="A133" s="61" t="s">
        <v>1315</v>
      </c>
    </row>
    <row r="134" spans="1:4" ht="12">
      <c r="A134" s="37" t="s">
        <v>755</v>
      </c>
      <c r="B134" s="273" t="s">
        <v>1316</v>
      </c>
      <c r="C134" s="273" t="s">
        <v>599</v>
      </c>
      <c r="D134" s="304"/>
    </row>
    <row r="135" spans="1:4" ht="12">
      <c r="A135" s="37" t="s">
        <v>600</v>
      </c>
      <c r="B135" s="304">
        <v>1255900</v>
      </c>
      <c r="C135" s="304">
        <f>B135*24%</f>
        <v>301416</v>
      </c>
      <c r="D135" s="304">
        <f>ROUND(C135/1000,0)</f>
        <v>301</v>
      </c>
    </row>
    <row r="136" spans="2:4" ht="12">
      <c r="B136" s="312" t="s">
        <v>1316</v>
      </c>
      <c r="C136" s="312" t="s">
        <v>601</v>
      </c>
      <c r="D136" s="274"/>
    </row>
    <row r="137" spans="1:4" ht="12">
      <c r="A137" s="37" t="s">
        <v>602</v>
      </c>
      <c r="B137" s="274">
        <v>1255900</v>
      </c>
      <c r="C137" s="274">
        <f>B137*4.5%</f>
        <v>56515.5</v>
      </c>
      <c r="D137" s="274">
        <f>ROUND(C137/1000,0)</f>
        <v>57</v>
      </c>
    </row>
    <row r="138" spans="2:4" ht="12">
      <c r="B138" s="273" t="s">
        <v>1316</v>
      </c>
      <c r="C138" s="273" t="s">
        <v>604</v>
      </c>
      <c r="D138" s="304"/>
    </row>
    <row r="139" spans="1:4" ht="12">
      <c r="A139" s="37" t="s">
        <v>603</v>
      </c>
      <c r="B139" s="304">
        <v>1255900</v>
      </c>
      <c r="C139" s="304">
        <f>B139*0.5%</f>
        <v>6279.5</v>
      </c>
      <c r="D139" s="304">
        <f>ROUND(C139/1000,0)</f>
        <v>6</v>
      </c>
    </row>
    <row r="140" spans="1:4" ht="12">
      <c r="A140" s="37" t="s">
        <v>605</v>
      </c>
      <c r="B140" s="304"/>
      <c r="C140" s="304">
        <f>C135+C137+C139</f>
        <v>364211</v>
      </c>
      <c r="D140" s="304">
        <f>D135+D137+D139</f>
        <v>364</v>
      </c>
    </row>
    <row r="141" spans="2:4" ht="12">
      <c r="B141" s="304"/>
      <c r="C141" s="304"/>
      <c r="D141" s="304"/>
    </row>
    <row r="142" spans="2:4" ht="12">
      <c r="B142" s="312" t="s">
        <v>1316</v>
      </c>
      <c r="C142" s="312" t="s">
        <v>1317</v>
      </c>
      <c r="D142" s="274"/>
    </row>
    <row r="143" spans="1:4" ht="12">
      <c r="A143" s="37" t="s">
        <v>1318</v>
      </c>
      <c r="B143" s="274">
        <v>1255900</v>
      </c>
      <c r="C143" s="274">
        <f>B143*3%</f>
        <v>37677</v>
      </c>
      <c r="D143" s="274">
        <f>ROUND(C143/1000,0)</f>
        <v>38</v>
      </c>
    </row>
    <row r="144" spans="2:4" ht="12">
      <c r="B144" s="274"/>
      <c r="C144" s="274"/>
      <c r="D144" s="274"/>
    </row>
    <row r="145" spans="1:4" ht="12">
      <c r="A145" s="37" t="s">
        <v>301</v>
      </c>
      <c r="B145" s="274"/>
      <c r="C145" s="274"/>
      <c r="D145" s="274"/>
    </row>
    <row r="146" spans="1:4" ht="12">
      <c r="A146" s="37" t="s">
        <v>302</v>
      </c>
      <c r="B146" s="274">
        <v>1</v>
      </c>
      <c r="C146" s="274"/>
      <c r="D146" s="274"/>
    </row>
    <row r="147" spans="1:4" ht="12">
      <c r="A147" s="37" t="s">
        <v>706</v>
      </c>
      <c r="B147" s="274">
        <v>1950</v>
      </c>
      <c r="C147" s="274">
        <f>B146*B147*12</f>
        <v>23400</v>
      </c>
      <c r="D147" s="274"/>
    </row>
    <row r="148" spans="2:4" ht="12">
      <c r="B148" s="292" t="s">
        <v>620</v>
      </c>
      <c r="C148" s="292" t="s">
        <v>1126</v>
      </c>
      <c r="D148" s="304"/>
    </row>
    <row r="149" spans="1:4" ht="12">
      <c r="A149" s="37" t="s">
        <v>1125</v>
      </c>
      <c r="B149" s="304"/>
      <c r="C149" s="304"/>
      <c r="D149" s="304"/>
    </row>
    <row r="150" spans="1:4" s="61" customFormat="1" ht="12">
      <c r="A150" s="37" t="s">
        <v>301</v>
      </c>
      <c r="B150" s="304"/>
      <c r="C150" s="304">
        <f>C147+C149</f>
        <v>23400</v>
      </c>
      <c r="D150" s="304">
        <f>ROUND(C150/1000,0)-1</f>
        <v>22</v>
      </c>
    </row>
    <row r="152" spans="1:4" s="61" customFormat="1" ht="12">
      <c r="A152" s="61" t="s">
        <v>306</v>
      </c>
      <c r="B152" s="226"/>
      <c r="C152" s="291">
        <f>C135+C137+C139+C143+C150</f>
        <v>425288</v>
      </c>
      <c r="D152" s="291">
        <f>D135+D137+D139+D143+D150</f>
        <v>424</v>
      </c>
    </row>
    <row r="154" ht="12">
      <c r="A154" s="61" t="s">
        <v>307</v>
      </c>
    </row>
    <row r="156" ht="12">
      <c r="A156" s="37" t="s">
        <v>308</v>
      </c>
    </row>
    <row r="157" spans="2:3" ht="12">
      <c r="B157" s="13" t="s">
        <v>665</v>
      </c>
      <c r="C157" s="63" t="s">
        <v>666</v>
      </c>
    </row>
    <row r="158" spans="1:4" ht="12">
      <c r="A158" s="37" t="s">
        <v>1334</v>
      </c>
      <c r="B158" s="317">
        <v>10084</v>
      </c>
      <c r="C158" s="304">
        <v>10000</v>
      </c>
      <c r="D158" s="304">
        <f>ROUND(C158/1000,0)</f>
        <v>10</v>
      </c>
    </row>
    <row r="159" spans="1:4" ht="12">
      <c r="A159" s="37" t="s">
        <v>1335</v>
      </c>
      <c r="B159" s="318"/>
      <c r="C159" s="274"/>
      <c r="D159" s="274">
        <f aca="true" t="shared" si="0" ref="D159:D164">ROUND(C159/1000,0)</f>
        <v>0</v>
      </c>
    </row>
    <row r="160" spans="1:4" ht="12">
      <c r="A160" s="37" t="s">
        <v>309</v>
      </c>
      <c r="B160" s="317">
        <v>0</v>
      </c>
      <c r="C160" s="304">
        <v>10000</v>
      </c>
      <c r="D160" s="304">
        <f t="shared" si="0"/>
        <v>10</v>
      </c>
    </row>
    <row r="161" spans="1:4" ht="12">
      <c r="A161" s="37" t="s">
        <v>1153</v>
      </c>
      <c r="B161" s="318">
        <v>4417</v>
      </c>
      <c r="C161" s="274">
        <v>5000</v>
      </c>
      <c r="D161" s="274">
        <f t="shared" si="0"/>
        <v>5</v>
      </c>
    </row>
    <row r="162" spans="1:4" ht="12">
      <c r="A162" s="37" t="s">
        <v>1154</v>
      </c>
      <c r="B162" s="317">
        <v>0</v>
      </c>
      <c r="C162" s="304">
        <v>10000</v>
      </c>
      <c r="D162" s="304">
        <f t="shared" si="0"/>
        <v>10</v>
      </c>
    </row>
    <row r="163" spans="1:4" ht="12">
      <c r="A163" s="37" t="s">
        <v>1336</v>
      </c>
      <c r="B163" s="318"/>
      <c r="C163" s="274"/>
      <c r="D163" s="274">
        <f t="shared" si="0"/>
        <v>0</v>
      </c>
    </row>
    <row r="164" spans="1:4" ht="12">
      <c r="A164" s="37" t="s">
        <v>1284</v>
      </c>
      <c r="B164" s="317"/>
      <c r="C164" s="304">
        <v>10000</v>
      </c>
      <c r="D164" s="304">
        <f t="shared" si="0"/>
        <v>10</v>
      </c>
    </row>
    <row r="165" spans="1:4" ht="12">
      <c r="A165" s="37" t="s">
        <v>201</v>
      </c>
      <c r="B165" s="318"/>
      <c r="C165" s="274"/>
      <c r="D165" s="274"/>
    </row>
    <row r="166" spans="1:4" ht="12">
      <c r="A166" s="37" t="s">
        <v>308</v>
      </c>
      <c r="B166" s="317">
        <f>SUM(B158:B165)</f>
        <v>14501</v>
      </c>
      <c r="C166" s="304">
        <f>SUM(C158:C165)</f>
        <v>45000</v>
      </c>
      <c r="D166" s="304">
        <f>SUM(D158:D165)</f>
        <v>45</v>
      </c>
    </row>
    <row r="167" spans="2:4" ht="12">
      <c r="B167" s="319"/>
      <c r="C167" s="304"/>
      <c r="D167" s="304"/>
    </row>
    <row r="168" spans="1:3" ht="12">
      <c r="A168" s="37" t="s">
        <v>310</v>
      </c>
      <c r="B168" s="13" t="s">
        <v>665</v>
      </c>
      <c r="C168" s="63" t="s">
        <v>666</v>
      </c>
    </row>
    <row r="169" spans="1:4" ht="12">
      <c r="A169" s="37" t="s">
        <v>1337</v>
      </c>
      <c r="B169" s="317">
        <v>67667</v>
      </c>
      <c r="C169" s="304">
        <v>45000</v>
      </c>
      <c r="D169" s="304">
        <f aca="true" t="shared" si="1" ref="D169:D174">ROUND(C169/1000,0)</f>
        <v>45</v>
      </c>
    </row>
    <row r="170" spans="1:4" s="61" customFormat="1" ht="12">
      <c r="A170" s="37" t="s">
        <v>1293</v>
      </c>
      <c r="B170" s="318">
        <v>121059</v>
      </c>
      <c r="C170" s="274">
        <v>150000</v>
      </c>
      <c r="D170" s="274">
        <f t="shared" si="1"/>
        <v>150</v>
      </c>
    </row>
    <row r="171" spans="1:4" ht="12">
      <c r="A171" s="37" t="s">
        <v>630</v>
      </c>
      <c r="B171" s="317">
        <v>93399</v>
      </c>
      <c r="C171" s="304">
        <v>50000</v>
      </c>
      <c r="D171" s="304">
        <f t="shared" si="1"/>
        <v>50</v>
      </c>
    </row>
    <row r="172" spans="1:4" ht="12">
      <c r="A172" s="37" t="s">
        <v>632</v>
      </c>
      <c r="B172" s="318">
        <v>2720</v>
      </c>
      <c r="C172" s="274">
        <v>5000</v>
      </c>
      <c r="D172" s="274">
        <f t="shared" si="1"/>
        <v>5</v>
      </c>
    </row>
    <row r="173" spans="1:4" ht="12">
      <c r="A173" s="37" t="s">
        <v>1338</v>
      </c>
      <c r="B173" s="317"/>
      <c r="C173" s="304">
        <v>5000</v>
      </c>
      <c r="D173" s="304">
        <f t="shared" si="1"/>
        <v>5</v>
      </c>
    </row>
    <row r="174" spans="1:4" ht="12">
      <c r="A174" s="37" t="s">
        <v>312</v>
      </c>
      <c r="B174" s="318">
        <v>2000</v>
      </c>
      <c r="C174" s="274">
        <v>5000</v>
      </c>
      <c r="D174" s="274">
        <f t="shared" si="1"/>
        <v>5</v>
      </c>
    </row>
    <row r="175" spans="1:4" ht="12">
      <c r="A175" s="37" t="s">
        <v>310</v>
      </c>
      <c r="B175" s="280">
        <f>SUM(B169:B174)</f>
        <v>286845</v>
      </c>
      <c r="C175" s="304">
        <f>SUM(C169:C174)</f>
        <v>260000</v>
      </c>
      <c r="D175" s="304">
        <f>SUM(D169:D174)</f>
        <v>260</v>
      </c>
    </row>
    <row r="176" ht="39.75" customHeight="1"/>
    <row r="177" spans="1:3" ht="12">
      <c r="A177" s="37" t="s">
        <v>315</v>
      </c>
      <c r="B177" s="14" t="s">
        <v>316</v>
      </c>
      <c r="C177" s="14" t="s">
        <v>317</v>
      </c>
    </row>
    <row r="178" spans="1:4" ht="12">
      <c r="A178" s="37" t="s">
        <v>318</v>
      </c>
      <c r="B178" s="274">
        <f>C158</f>
        <v>10000</v>
      </c>
      <c r="C178" s="274">
        <f>B178*5%</f>
        <v>500</v>
      </c>
      <c r="D178" s="274">
        <f>ROUND(C178/1000,0)</f>
        <v>1</v>
      </c>
    </row>
    <row r="179" spans="1:4" ht="12">
      <c r="A179" s="37" t="s">
        <v>1648</v>
      </c>
      <c r="B179" s="274">
        <f>(C166+C175)-C158</f>
        <v>295000</v>
      </c>
      <c r="C179" s="274">
        <f>B179*20%</f>
        <v>59000</v>
      </c>
      <c r="D179" s="274">
        <f>ROUND(C179/1000,0)</f>
        <v>59</v>
      </c>
    </row>
    <row r="180" spans="1:4" ht="12">
      <c r="A180" s="37" t="s">
        <v>315</v>
      </c>
      <c r="B180" s="274"/>
      <c r="C180" s="274">
        <f>SUM(C178:C179)</f>
        <v>59500</v>
      </c>
      <c r="D180" s="274">
        <f>SUM(D178:D179)</f>
        <v>60</v>
      </c>
    </row>
    <row r="181" spans="2:4" ht="12">
      <c r="B181" s="273" t="s">
        <v>780</v>
      </c>
      <c r="C181" s="304"/>
      <c r="D181" s="304"/>
    </row>
    <row r="182" spans="1:4" ht="12">
      <c r="A182" s="37" t="s">
        <v>1443</v>
      </c>
      <c r="B182" s="304">
        <v>3964</v>
      </c>
      <c r="C182" s="304">
        <v>5000</v>
      </c>
      <c r="D182" s="304">
        <f>ROUND(C182/1000,0)</f>
        <v>5</v>
      </c>
    </row>
    <row r="183" spans="2:4" ht="12">
      <c r="B183" s="304"/>
      <c r="C183" s="304"/>
      <c r="D183" s="304"/>
    </row>
    <row r="184" spans="1:4" ht="12">
      <c r="A184" s="37" t="s">
        <v>1444</v>
      </c>
      <c r="B184" s="304">
        <v>1865</v>
      </c>
      <c r="C184" s="304">
        <v>5000</v>
      </c>
      <c r="D184" s="304">
        <f>ROUND(C184/1000,0)</f>
        <v>5</v>
      </c>
    </row>
    <row r="185" spans="2:4" ht="12">
      <c r="B185" s="304"/>
      <c r="C185" s="304"/>
      <c r="D185" s="304"/>
    </row>
    <row r="186" spans="1:4" ht="12">
      <c r="A186" s="61" t="s">
        <v>1445</v>
      </c>
      <c r="B186" s="226"/>
      <c r="C186" s="226">
        <f>C166+C175+C180+C182+C184</f>
        <v>374500</v>
      </c>
      <c r="D186" s="226">
        <f>D166+D175+D180+D182+D184</f>
        <v>375</v>
      </c>
    </row>
    <row r="188" spans="1:4" ht="12">
      <c r="A188" s="61" t="s">
        <v>1339</v>
      </c>
      <c r="B188" s="226"/>
      <c r="C188" s="226">
        <f>C131+C152+C186</f>
        <v>2554788</v>
      </c>
      <c r="D188" s="226">
        <f>D131+D152+D186</f>
        <v>2554</v>
      </c>
    </row>
    <row r="191" ht="12">
      <c r="A191" s="61" t="s">
        <v>545</v>
      </c>
    </row>
    <row r="192" ht="24.75" customHeight="1"/>
    <row r="193" spans="1:4" ht="38.25" customHeight="1">
      <c r="A193" s="363" t="s">
        <v>1257</v>
      </c>
      <c r="B193" s="361"/>
      <c r="C193" s="361"/>
      <c r="D193" s="361"/>
    </row>
    <row r="195" spans="1:4" ht="12">
      <c r="A195" s="294" t="s">
        <v>255</v>
      </c>
      <c r="B195" s="274"/>
      <c r="C195" s="274"/>
      <c r="D195" s="274"/>
    </row>
    <row r="196" spans="1:4" ht="12">
      <c r="A196" s="294" t="s">
        <v>256</v>
      </c>
      <c r="B196" s="274"/>
      <c r="C196" s="274"/>
      <c r="D196" s="274"/>
    </row>
    <row r="197" spans="1:4" ht="12">
      <c r="A197" s="294"/>
      <c r="B197" s="274"/>
      <c r="C197" s="274"/>
      <c r="D197" s="274"/>
    </row>
    <row r="198" spans="1:4" ht="12">
      <c r="A198" s="294" t="s">
        <v>1325</v>
      </c>
      <c r="B198" s="273" t="s">
        <v>780</v>
      </c>
      <c r="C198" s="304"/>
      <c r="D198" s="304"/>
    </row>
    <row r="199" spans="1:4" ht="12">
      <c r="A199" s="313" t="s">
        <v>827</v>
      </c>
      <c r="B199" s="312"/>
      <c r="C199" s="274">
        <v>945000</v>
      </c>
      <c r="D199" s="274"/>
    </row>
    <row r="200" spans="1:4" ht="12">
      <c r="A200" s="294" t="s">
        <v>826</v>
      </c>
      <c r="B200" s="273">
        <v>0</v>
      </c>
      <c r="C200" s="304">
        <v>586000</v>
      </c>
      <c r="D200" s="304"/>
    </row>
    <row r="201" spans="1:4" ht="12">
      <c r="A201" s="313" t="s">
        <v>1158</v>
      </c>
      <c r="B201" s="304"/>
      <c r="C201" s="304">
        <f>SUM(C199:C200)</f>
        <v>1531000</v>
      </c>
      <c r="D201" s="304">
        <f>ROUND(C201/1000,0)</f>
        <v>1531</v>
      </c>
    </row>
    <row r="202" spans="1:4" ht="12">
      <c r="A202" s="313"/>
      <c r="B202" s="304"/>
      <c r="C202" s="304"/>
      <c r="D202" s="304"/>
    </row>
    <row r="203" spans="1:4" ht="12">
      <c r="A203" s="313" t="s">
        <v>23</v>
      </c>
      <c r="B203" s="304"/>
      <c r="C203" s="304">
        <v>12000</v>
      </c>
      <c r="D203" s="304">
        <f>ROUND(C203/1000,0)</f>
        <v>12</v>
      </c>
    </row>
    <row r="205" spans="1:4" ht="12">
      <c r="A205" s="61" t="s">
        <v>544</v>
      </c>
      <c r="B205" s="226"/>
      <c r="C205" s="226">
        <f>C201+C203</f>
        <v>1543000</v>
      </c>
      <c r="D205" s="226">
        <f>D201+D203</f>
        <v>1543</v>
      </c>
    </row>
    <row r="207" ht="12">
      <c r="A207" s="61" t="s">
        <v>828</v>
      </c>
    </row>
    <row r="209" spans="1:4" ht="12">
      <c r="A209" s="363" t="s">
        <v>829</v>
      </c>
      <c r="B209" s="361"/>
      <c r="C209" s="361"/>
      <c r="D209" s="361"/>
    </row>
    <row r="210" spans="1:4" ht="12">
      <c r="A210" s="363" t="s">
        <v>830</v>
      </c>
      <c r="B210" s="361"/>
      <c r="C210" s="361"/>
      <c r="D210" s="361"/>
    </row>
    <row r="212" ht="12">
      <c r="A212" s="37" t="s">
        <v>255</v>
      </c>
    </row>
    <row r="213" ht="12">
      <c r="A213" s="37" t="s">
        <v>432</v>
      </c>
    </row>
    <row r="215" ht="12">
      <c r="A215" s="37" t="s">
        <v>466</v>
      </c>
    </row>
    <row r="218" ht="12">
      <c r="A218" s="37" t="s">
        <v>175</v>
      </c>
    </row>
    <row r="219" ht="12">
      <c r="A219" s="9" t="s">
        <v>471</v>
      </c>
    </row>
    <row r="221" ht="12">
      <c r="A221" s="37" t="s">
        <v>472</v>
      </c>
    </row>
    <row r="222" spans="1:2" ht="12">
      <c r="A222" s="37" t="s">
        <v>467</v>
      </c>
      <c r="B222" s="55">
        <f>rszs!$C$24</f>
        <v>1</v>
      </c>
    </row>
    <row r="223" spans="1:2" ht="12">
      <c r="A223" s="37" t="s">
        <v>831</v>
      </c>
      <c r="B223" s="55">
        <f>rszs!$D$22*105%</f>
        <v>6367.2</v>
      </c>
    </row>
    <row r="224" spans="2:3" ht="12">
      <c r="B224" s="14" t="s">
        <v>1484</v>
      </c>
      <c r="C224" s="14" t="s">
        <v>1301</v>
      </c>
    </row>
    <row r="225" spans="1:3" ht="12">
      <c r="A225" s="37" t="s">
        <v>468</v>
      </c>
      <c r="B225" s="55">
        <v>6064</v>
      </c>
      <c r="C225" s="55">
        <f>B225*1</f>
        <v>6064</v>
      </c>
    </row>
    <row r="226" spans="1:3" ht="12">
      <c r="A226" s="37" t="s">
        <v>470</v>
      </c>
      <c r="B226" s="55">
        <f>B222*B223</f>
        <v>6367.2</v>
      </c>
      <c r="C226" s="55">
        <f>B226*11</f>
        <v>70039.2</v>
      </c>
    </row>
    <row r="227" spans="1:4" ht="12">
      <c r="A227" s="37" t="s">
        <v>472</v>
      </c>
      <c r="D227" s="55">
        <f>ROUND(C227/1000,0)</f>
        <v>0</v>
      </c>
    </row>
    <row r="230" ht="12">
      <c r="A230" s="37" t="s">
        <v>473</v>
      </c>
    </row>
    <row r="232" ht="12">
      <c r="A232" s="37" t="s">
        <v>474</v>
      </c>
    </row>
    <row r="234" ht="12">
      <c r="A234" s="37" t="s">
        <v>481</v>
      </c>
    </row>
    <row r="235" ht="12">
      <c r="A235" s="9" t="s">
        <v>505</v>
      </c>
    </row>
    <row r="237" spans="1:2" ht="12">
      <c r="A237" s="37" t="s">
        <v>467</v>
      </c>
      <c r="B237" s="55">
        <f>náp!$B$20</f>
        <v>1</v>
      </c>
    </row>
    <row r="238" spans="1:2" ht="12">
      <c r="A238" s="37" t="s">
        <v>506</v>
      </c>
      <c r="B238" s="55">
        <v>28500</v>
      </c>
    </row>
    <row r="239" spans="2:3" ht="12">
      <c r="B239" s="14" t="s">
        <v>1484</v>
      </c>
      <c r="C239" s="14" t="s">
        <v>1301</v>
      </c>
    </row>
    <row r="240" spans="1:4" ht="12">
      <c r="A240" s="37" t="s">
        <v>468</v>
      </c>
      <c r="B240" s="274">
        <f>náp!E22</f>
        <v>27130</v>
      </c>
      <c r="C240" s="274">
        <f>B240*1</f>
        <v>27130</v>
      </c>
      <c r="D240" s="274"/>
    </row>
    <row r="241" spans="1:4" ht="12">
      <c r="A241" s="37" t="s">
        <v>470</v>
      </c>
      <c r="B241" s="274">
        <f>B237*B238</f>
        <v>28500</v>
      </c>
      <c r="C241" s="274">
        <f>B241*11</f>
        <v>313500</v>
      </c>
      <c r="D241" s="274"/>
    </row>
    <row r="242" spans="2:4" ht="12">
      <c r="B242" s="274"/>
      <c r="C242" s="274">
        <f>SUM(C240:C241)</f>
        <v>340630</v>
      </c>
      <c r="D242" s="274">
        <f>ROUND(C242/1000,0)</f>
        <v>341</v>
      </c>
    </row>
    <row r="243" spans="2:4" ht="12">
      <c r="B243" s="274"/>
      <c r="C243" s="274"/>
      <c r="D243" s="274"/>
    </row>
    <row r="244" spans="1:4" s="61" customFormat="1" ht="12">
      <c r="A244" s="37"/>
      <c r="B244" s="292" t="s">
        <v>507</v>
      </c>
      <c r="C244" s="292" t="s">
        <v>508</v>
      </c>
      <c r="D244" s="304"/>
    </row>
    <row r="245" spans="1:4" ht="12">
      <c r="A245" s="37" t="s">
        <v>836</v>
      </c>
      <c r="B245" s="304">
        <f>C242</f>
        <v>340630</v>
      </c>
      <c r="C245" s="304">
        <f>B245*21%</f>
        <v>71532.3</v>
      </c>
      <c r="D245" s="304">
        <f>ROUND(C245/1000,0)-1</f>
        <v>71</v>
      </c>
    </row>
    <row r="246" spans="2:4" ht="12">
      <c r="B246" s="304"/>
      <c r="C246" s="304"/>
      <c r="D246" s="304"/>
    </row>
    <row r="247" spans="1:4" ht="12">
      <c r="A247" s="9" t="s">
        <v>561</v>
      </c>
      <c r="B247" s="304"/>
      <c r="C247" s="304"/>
      <c r="D247" s="304"/>
    </row>
    <row r="248" spans="1:4" ht="12">
      <c r="A248" s="37" t="s">
        <v>467</v>
      </c>
      <c r="B248" s="304">
        <f>fáp!$B$20</f>
        <v>4</v>
      </c>
      <c r="C248" s="304"/>
      <c r="D248" s="304"/>
    </row>
    <row r="249" spans="1:4" ht="12">
      <c r="A249" s="37" t="s">
        <v>560</v>
      </c>
      <c r="B249" s="304">
        <f>B238*130%</f>
        <v>37050</v>
      </c>
      <c r="C249" s="304"/>
      <c r="D249" s="304"/>
    </row>
    <row r="250" spans="2:4" ht="12">
      <c r="B250" s="316" t="s">
        <v>1484</v>
      </c>
      <c r="C250" s="316" t="s">
        <v>1301</v>
      </c>
      <c r="D250" s="274"/>
    </row>
    <row r="251" spans="1:4" ht="12">
      <c r="A251" s="37" t="s">
        <v>468</v>
      </c>
      <c r="B251" s="274">
        <f>náp!F22</f>
        <v>108520</v>
      </c>
      <c r="C251" s="274">
        <f>B251*1</f>
        <v>108520</v>
      </c>
      <c r="D251" s="274"/>
    </row>
    <row r="252" spans="1:4" ht="12">
      <c r="A252" s="37" t="s">
        <v>470</v>
      </c>
      <c r="B252" s="274">
        <f>B248*B249</f>
        <v>148200</v>
      </c>
      <c r="C252" s="274">
        <f>B252*11</f>
        <v>1630200</v>
      </c>
      <c r="D252" s="274"/>
    </row>
    <row r="253" spans="2:4" ht="12">
      <c r="B253" s="274"/>
      <c r="C253" s="274">
        <f>SUM(C251:C252)</f>
        <v>1738720</v>
      </c>
      <c r="D253" s="274">
        <f>ROUND(C253/1000,0)</f>
        <v>1739</v>
      </c>
    </row>
    <row r="254" spans="2:4" ht="12">
      <c r="B254" s="274"/>
      <c r="C254" s="274"/>
      <c r="D254" s="274"/>
    </row>
    <row r="255" spans="2:4" ht="12">
      <c r="B255" s="292" t="s">
        <v>507</v>
      </c>
      <c r="C255" s="292" t="s">
        <v>508</v>
      </c>
      <c r="D255" s="304"/>
    </row>
    <row r="256" spans="1:4" ht="12">
      <c r="A256" s="37" t="s">
        <v>836</v>
      </c>
      <c r="B256" s="304">
        <f>C253</f>
        <v>1738720</v>
      </c>
      <c r="C256" s="304">
        <f>B256*21%</f>
        <v>365131.2</v>
      </c>
      <c r="D256" s="304">
        <f>ROUND(C256/1000,0)</f>
        <v>365</v>
      </c>
    </row>
    <row r="257" spans="2:4" ht="12">
      <c r="B257" s="304"/>
      <c r="C257" s="304"/>
      <c r="D257" s="304"/>
    </row>
    <row r="258" spans="1:4" ht="12">
      <c r="A258" s="37" t="s">
        <v>509</v>
      </c>
      <c r="B258" s="304"/>
      <c r="C258" s="304">
        <v>2615257</v>
      </c>
      <c r="D258" s="304">
        <v>2615</v>
      </c>
    </row>
    <row r="260" ht="12">
      <c r="A260" s="37" t="s">
        <v>510</v>
      </c>
    </row>
    <row r="261" ht="12">
      <c r="A261" s="9" t="s">
        <v>511</v>
      </c>
    </row>
    <row r="263" spans="1:4" ht="12">
      <c r="A263" s="37" t="s">
        <v>467</v>
      </c>
      <c r="B263" s="274">
        <f>máp!$B$20</f>
        <v>8</v>
      </c>
      <c r="C263" s="274"/>
      <c r="D263" s="274"/>
    </row>
    <row r="264" spans="1:4" ht="12">
      <c r="A264" s="37" t="s">
        <v>512</v>
      </c>
      <c r="B264" s="274">
        <f>B238*80%</f>
        <v>22800</v>
      </c>
      <c r="C264" s="274"/>
      <c r="D264" s="274"/>
    </row>
    <row r="265" spans="2:4" ht="12">
      <c r="B265" s="292" t="s">
        <v>1484</v>
      </c>
      <c r="C265" s="292" t="s">
        <v>1301</v>
      </c>
      <c r="D265" s="304"/>
    </row>
    <row r="266" spans="1:4" ht="12">
      <c r="A266" s="37" t="s">
        <v>468</v>
      </c>
      <c r="B266" s="304">
        <f>máp!$E$22</f>
        <v>130224</v>
      </c>
      <c r="C266" s="304">
        <f>B266*1</f>
        <v>130224</v>
      </c>
      <c r="D266" s="304"/>
    </row>
    <row r="267" spans="1:4" ht="12">
      <c r="A267" s="37" t="s">
        <v>470</v>
      </c>
      <c r="B267" s="304">
        <f>B263*B264</f>
        <v>182400</v>
      </c>
      <c r="C267" s="304">
        <f>B267*11</f>
        <v>2006400</v>
      </c>
      <c r="D267" s="304"/>
    </row>
    <row r="268" spans="2:4" ht="12">
      <c r="B268" s="304"/>
      <c r="C268" s="304">
        <f>SUM(C266:C267)</f>
        <v>2136624</v>
      </c>
      <c r="D268" s="304">
        <f>ROUND(C268/1000,0)-1</f>
        <v>2136</v>
      </c>
    </row>
    <row r="269" spans="2:4" ht="12">
      <c r="B269" s="304"/>
      <c r="C269" s="304"/>
      <c r="D269" s="304"/>
    </row>
    <row r="270" spans="2:4" ht="12">
      <c r="B270" s="316" t="s">
        <v>507</v>
      </c>
      <c r="C270" s="316" t="s">
        <v>508</v>
      </c>
      <c r="D270" s="274"/>
    </row>
    <row r="271" spans="1:4" ht="12">
      <c r="A271" s="37" t="s">
        <v>836</v>
      </c>
      <c r="B271" s="274">
        <f>C268</f>
        <v>2136624</v>
      </c>
      <c r="C271" s="274">
        <f>B271*21%</f>
        <v>448691.04</v>
      </c>
      <c r="D271" s="274">
        <f>ROUND(C271/1000,0)</f>
        <v>449</v>
      </c>
    </row>
    <row r="272" spans="2:4" ht="12">
      <c r="B272" s="274"/>
      <c r="C272" s="274"/>
      <c r="D272" s="274"/>
    </row>
    <row r="273" spans="1:4" ht="12">
      <c r="A273" s="37" t="s">
        <v>510</v>
      </c>
      <c r="B273" s="274"/>
      <c r="C273" s="274">
        <v>1719004</v>
      </c>
      <c r="D273" s="274">
        <v>1719</v>
      </c>
    </row>
    <row r="274" spans="2:4" ht="12">
      <c r="B274" s="274"/>
      <c r="C274" s="274"/>
      <c r="D274" s="274"/>
    </row>
    <row r="275" spans="1:4" ht="24" customHeight="1">
      <c r="A275" s="37" t="s">
        <v>1357</v>
      </c>
      <c r="B275" s="274"/>
      <c r="C275" s="274">
        <f>C258+C273</f>
        <v>4334261</v>
      </c>
      <c r="D275" s="274">
        <f>D258+D273</f>
        <v>4334</v>
      </c>
    </row>
    <row r="277" ht="12">
      <c r="A277" s="37" t="s">
        <v>1358</v>
      </c>
    </row>
    <row r="278" ht="12">
      <c r="A278" s="9" t="s">
        <v>1679</v>
      </c>
    </row>
    <row r="279" spans="1:2" ht="12">
      <c r="A279" s="37" t="s">
        <v>467</v>
      </c>
      <c r="B279" s="55">
        <f>lft!$B$21</f>
        <v>38</v>
      </c>
    </row>
    <row r="280" spans="1:4" ht="12">
      <c r="A280" s="37" t="s">
        <v>838</v>
      </c>
      <c r="B280" s="274">
        <f>lft!$C$22</f>
        <v>5433.076373033804</v>
      </c>
      <c r="C280" s="274"/>
      <c r="D280" s="274"/>
    </row>
    <row r="281" spans="2:4" ht="12">
      <c r="B281" s="292" t="s">
        <v>1484</v>
      </c>
      <c r="C281" s="292" t="s">
        <v>1301</v>
      </c>
      <c r="D281" s="304"/>
    </row>
    <row r="282" spans="1:4" ht="12">
      <c r="A282" s="37" t="s">
        <v>468</v>
      </c>
      <c r="B282" s="304">
        <f>lft!$D$23</f>
        <v>204600</v>
      </c>
      <c r="C282" s="304">
        <f>B282*1</f>
        <v>204600</v>
      </c>
      <c r="D282" s="304"/>
    </row>
    <row r="283" spans="1:4" ht="12">
      <c r="A283" s="37" t="s">
        <v>470</v>
      </c>
      <c r="B283" s="304">
        <f>B279*B280</f>
        <v>206456.90217528454</v>
      </c>
      <c r="C283" s="304">
        <f>B283*11</f>
        <v>2271025.92392813</v>
      </c>
      <c r="D283" s="304"/>
    </row>
    <row r="284" spans="1:4" ht="12">
      <c r="A284" s="37" t="s">
        <v>1358</v>
      </c>
      <c r="B284" s="304"/>
      <c r="C284" s="304">
        <v>2202000</v>
      </c>
      <c r="D284" s="304">
        <f>ROUND(C284/1000,0)</f>
        <v>2202</v>
      </c>
    </row>
    <row r="285" spans="2:4" ht="12">
      <c r="B285" s="304"/>
      <c r="C285" s="304"/>
      <c r="D285" s="304"/>
    </row>
    <row r="286" spans="1:4" ht="12">
      <c r="A286" s="37" t="s">
        <v>1359</v>
      </c>
      <c r="B286" s="304"/>
      <c r="C286" s="304">
        <f>C230+C275+C284</f>
        <v>6536261</v>
      </c>
      <c r="D286" s="304">
        <f>D230+D275+D284</f>
        <v>6536</v>
      </c>
    </row>
    <row r="287" spans="2:4" ht="12">
      <c r="B287" s="304"/>
      <c r="C287" s="304"/>
      <c r="D287" s="304"/>
    </row>
    <row r="288" spans="1:4" ht="12">
      <c r="A288" s="61" t="s">
        <v>839</v>
      </c>
      <c r="B288" s="291"/>
      <c r="C288" s="291">
        <f>C286</f>
        <v>6536261</v>
      </c>
      <c r="D288" s="291">
        <f>D286</f>
        <v>6536</v>
      </c>
    </row>
    <row r="290" spans="1:4" s="61" customFormat="1" ht="12">
      <c r="A290" s="61" t="s">
        <v>840</v>
      </c>
      <c r="B290" s="55"/>
      <c r="C290" s="55"/>
      <c r="D290" s="55"/>
    </row>
    <row r="292" spans="1:4" ht="12.75">
      <c r="A292" s="363" t="s">
        <v>841</v>
      </c>
      <c r="B292" s="359"/>
      <c r="C292" s="359"/>
      <c r="D292" s="359"/>
    </row>
    <row r="294" ht="36.75" customHeight="1">
      <c r="A294" s="37" t="s">
        <v>255</v>
      </c>
    </row>
    <row r="295" ht="12">
      <c r="A295" s="37" t="s">
        <v>102</v>
      </c>
    </row>
    <row r="297" ht="12">
      <c r="A297" s="37" t="s">
        <v>842</v>
      </c>
    </row>
    <row r="298" spans="2:4" ht="12">
      <c r="B298" s="274"/>
      <c r="C298" s="274"/>
      <c r="D298" s="274"/>
    </row>
    <row r="299" spans="1:4" ht="12">
      <c r="A299" s="9" t="s">
        <v>471</v>
      </c>
      <c r="B299" s="274"/>
      <c r="C299" s="274"/>
      <c r="D299" s="274"/>
    </row>
    <row r="300" spans="1:4" ht="12">
      <c r="A300" s="37" t="s">
        <v>467</v>
      </c>
      <c r="B300" s="274">
        <f>rszs!H24</f>
        <v>39</v>
      </c>
      <c r="C300" s="274"/>
      <c r="D300" s="274"/>
    </row>
    <row r="301" spans="1:4" ht="12">
      <c r="A301" s="37" t="s">
        <v>838</v>
      </c>
      <c r="B301" s="274">
        <f>rszs!I22*105%</f>
        <v>25725.40207877462</v>
      </c>
      <c r="C301" s="274"/>
      <c r="D301" s="274"/>
    </row>
    <row r="302" spans="2:4" ht="12">
      <c r="B302" s="292" t="s">
        <v>1484</v>
      </c>
      <c r="C302" s="292" t="s">
        <v>1301</v>
      </c>
      <c r="D302" s="304"/>
    </row>
    <row r="303" spans="1:4" ht="12">
      <c r="A303" s="37" t="s">
        <v>468</v>
      </c>
      <c r="B303" s="316">
        <f>rszs!I26</f>
        <v>989886</v>
      </c>
      <c r="C303" s="316">
        <f>B303*1</f>
        <v>989886</v>
      </c>
      <c r="D303" s="274"/>
    </row>
    <row r="304" spans="1:4" ht="12">
      <c r="A304" s="37" t="s">
        <v>470</v>
      </c>
      <c r="B304" s="292">
        <f>B300*B301</f>
        <v>1003290.6810722102</v>
      </c>
      <c r="C304" s="292">
        <f>B304*11</f>
        <v>11036197.491794312</v>
      </c>
      <c r="D304" s="304"/>
    </row>
    <row r="305" spans="1:4" ht="12">
      <c r="A305" s="37" t="s">
        <v>842</v>
      </c>
      <c r="B305" s="304"/>
      <c r="C305" s="304">
        <v>12592773</v>
      </c>
      <c r="D305" s="304">
        <f>ROUND(C305/1000,0)</f>
        <v>12593</v>
      </c>
    </row>
    <row r="306" spans="2:4" ht="12">
      <c r="B306" s="304"/>
      <c r="C306" s="304"/>
      <c r="D306" s="304"/>
    </row>
    <row r="307" spans="1:4" ht="12">
      <c r="A307" s="61" t="s">
        <v>843</v>
      </c>
      <c r="B307" s="291"/>
      <c r="C307" s="291">
        <f>C305</f>
        <v>12592773</v>
      </c>
      <c r="D307" s="291">
        <f>D305</f>
        <v>12593</v>
      </c>
    </row>
    <row r="309" ht="12">
      <c r="A309" s="61" t="s">
        <v>29</v>
      </c>
    </row>
    <row r="311" spans="1:4" ht="12">
      <c r="A311" s="363" t="s">
        <v>1495</v>
      </c>
      <c r="B311" s="361"/>
      <c r="C311" s="361"/>
      <c r="D311" s="361"/>
    </row>
    <row r="313" ht="12">
      <c r="A313" s="37" t="s">
        <v>255</v>
      </c>
    </row>
    <row r="314" ht="12">
      <c r="A314" s="37" t="s">
        <v>102</v>
      </c>
    </row>
    <row r="315" spans="1:4" s="61" customFormat="1" ht="12">
      <c r="A315" s="37"/>
      <c r="B315" s="55"/>
      <c r="C315" s="55"/>
      <c r="D315" s="55"/>
    </row>
    <row r="316" ht="12">
      <c r="A316" s="37" t="s">
        <v>1496</v>
      </c>
    </row>
    <row r="317" ht="12">
      <c r="B317" s="63" t="s">
        <v>844</v>
      </c>
    </row>
    <row r="318" spans="1:4" s="145" customFormat="1" ht="12">
      <c r="A318" s="37" t="s">
        <v>1497</v>
      </c>
      <c r="B318" s="280"/>
      <c r="C318" s="274"/>
      <c r="D318" s="274"/>
    </row>
    <row r="319" spans="1:4" ht="12">
      <c r="A319" s="37" t="s">
        <v>1498</v>
      </c>
      <c r="B319" s="317">
        <v>297000</v>
      </c>
      <c r="C319" s="304">
        <v>25000</v>
      </c>
      <c r="D319" s="304"/>
    </row>
    <row r="320" spans="1:4" ht="12">
      <c r="A320" s="37" t="s">
        <v>1499</v>
      </c>
      <c r="B320" s="318">
        <v>66000</v>
      </c>
      <c r="C320" s="274">
        <v>66000</v>
      </c>
      <c r="D320" s="274"/>
    </row>
    <row r="321" spans="1:4" ht="12">
      <c r="A321" s="37" t="s">
        <v>1500</v>
      </c>
      <c r="B321" s="317"/>
      <c r="C321" s="304"/>
      <c r="D321" s="304"/>
    </row>
    <row r="322" spans="1:4" ht="12">
      <c r="A322" s="37" t="s">
        <v>1258</v>
      </c>
      <c r="B322" s="318"/>
      <c r="C322" s="274"/>
      <c r="D322" s="274"/>
    </row>
    <row r="323" spans="1:4" ht="12">
      <c r="A323" s="37" t="s">
        <v>611</v>
      </c>
      <c r="B323" s="317"/>
      <c r="C323" s="304"/>
      <c r="D323" s="304"/>
    </row>
    <row r="324" spans="1:4" ht="12">
      <c r="A324" s="37" t="s">
        <v>612</v>
      </c>
      <c r="B324" s="318"/>
      <c r="C324" s="274"/>
      <c r="D324" s="274"/>
    </row>
    <row r="325" spans="1:4" ht="12">
      <c r="A325" s="37" t="s">
        <v>613</v>
      </c>
      <c r="B325" s="317">
        <v>192500</v>
      </c>
      <c r="C325" s="304">
        <v>171500</v>
      </c>
      <c r="D325" s="304"/>
    </row>
    <row r="326" spans="1:4" ht="12">
      <c r="A326" s="37" t="s">
        <v>614</v>
      </c>
      <c r="B326" s="318"/>
      <c r="C326" s="274"/>
      <c r="D326" s="274"/>
    </row>
    <row r="327" spans="1:4" ht="12">
      <c r="A327" s="37" t="s">
        <v>1496</v>
      </c>
      <c r="B327" s="317">
        <f>SUM(B319:B326)</f>
        <v>555500</v>
      </c>
      <c r="C327" s="304">
        <f>SUM(C319:C326)</f>
        <v>262500</v>
      </c>
      <c r="D327" s="304">
        <f>ROUND(C327/1000,0)</f>
        <v>263</v>
      </c>
    </row>
    <row r="328" spans="2:4" ht="12">
      <c r="B328" s="324"/>
      <c r="C328" s="274"/>
      <c r="D328" s="274"/>
    </row>
    <row r="329" spans="1:4" ht="12">
      <c r="A329" s="37" t="s">
        <v>615</v>
      </c>
      <c r="B329" s="280"/>
      <c r="C329" s="304"/>
      <c r="D329" s="304"/>
    </row>
    <row r="330" spans="1:4" ht="12">
      <c r="A330" s="37" t="s">
        <v>616</v>
      </c>
      <c r="B330" s="318"/>
      <c r="C330" s="274"/>
      <c r="D330" s="274">
        <f>ROUND(C330/1000,0)</f>
        <v>0</v>
      </c>
    </row>
    <row r="331" spans="1:4" ht="12">
      <c r="A331" s="37" t="s">
        <v>564</v>
      </c>
      <c r="B331" s="317">
        <v>28368</v>
      </c>
      <c r="C331" s="304">
        <v>30000</v>
      </c>
      <c r="D331" s="304">
        <f>ROUND(C331/1000,0)</f>
        <v>30</v>
      </c>
    </row>
    <row r="332" spans="1:4" ht="12">
      <c r="A332" s="37" t="s">
        <v>1614</v>
      </c>
      <c r="B332" s="318"/>
      <c r="C332" s="274"/>
      <c r="D332" s="274"/>
    </row>
    <row r="333" spans="1:4" ht="12">
      <c r="A333" s="37" t="s">
        <v>1260</v>
      </c>
      <c r="B333" s="274"/>
      <c r="C333" s="274"/>
      <c r="D333" s="274"/>
    </row>
    <row r="334" spans="1:4" ht="12">
      <c r="A334" s="37" t="s">
        <v>617</v>
      </c>
      <c r="B334" s="274"/>
      <c r="C334" s="274"/>
      <c r="D334" s="274"/>
    </row>
    <row r="335" ht="12">
      <c r="A335" s="37" t="s">
        <v>618</v>
      </c>
    </row>
    <row r="336" spans="1:4" ht="12">
      <c r="A336" s="37" t="s">
        <v>619</v>
      </c>
      <c r="B336" s="325">
        <f>étk!$S$25</f>
        <v>0.4663951120162933</v>
      </c>
      <c r="C336" s="274"/>
      <c r="D336" s="274"/>
    </row>
    <row r="337" spans="1:4" ht="12">
      <c r="A337" s="37" t="s">
        <v>393</v>
      </c>
      <c r="B337" s="292" t="s">
        <v>620</v>
      </c>
      <c r="C337" s="292" t="s">
        <v>621</v>
      </c>
      <c r="D337" s="304"/>
    </row>
    <row r="338" spans="1:4" ht="12">
      <c r="A338" s="37" t="s">
        <v>565</v>
      </c>
      <c r="B338" s="304">
        <f>bev!$C$192*B336</f>
        <v>155930.97888675626</v>
      </c>
      <c r="C338" s="304">
        <f>B338*50%</f>
        <v>77965.48944337813</v>
      </c>
      <c r="D338" s="304">
        <f>ROUND(C338/1000,0)</f>
        <v>78</v>
      </c>
    </row>
    <row r="339" spans="1:4" ht="12">
      <c r="A339" s="37" t="s">
        <v>566</v>
      </c>
      <c r="B339" s="326">
        <f>étk!AB25</f>
        <v>0.5236231101511879</v>
      </c>
      <c r="C339" s="304"/>
      <c r="D339" s="304"/>
    </row>
    <row r="340" spans="1:4" ht="12">
      <c r="A340" s="37" t="s">
        <v>393</v>
      </c>
      <c r="B340" s="326"/>
      <c r="C340" s="316"/>
      <c r="D340" s="274"/>
    </row>
    <row r="341" spans="2:4" ht="12">
      <c r="B341" s="292" t="s">
        <v>620</v>
      </c>
      <c r="C341" s="292" t="s">
        <v>621</v>
      </c>
      <c r="D341" s="304"/>
    </row>
    <row r="342" spans="2:4" ht="12">
      <c r="B342" s="304">
        <f>bev!$C$200*B339</f>
        <v>782646.3539247562</v>
      </c>
      <c r="C342" s="304">
        <f>B342*50%</f>
        <v>391323.1769623781</v>
      </c>
      <c r="D342" s="304">
        <f>ROUND(C342/1000,0)</f>
        <v>391</v>
      </c>
    </row>
    <row r="343" spans="1:4" ht="12">
      <c r="A343" s="37" t="s">
        <v>1472</v>
      </c>
      <c r="B343" s="326">
        <f>étk!$AC$25</f>
        <v>0.1853401727861771</v>
      </c>
      <c r="C343" s="304"/>
      <c r="D343" s="304"/>
    </row>
    <row r="344" spans="2:4" ht="12">
      <c r="B344" s="316" t="s">
        <v>620</v>
      </c>
      <c r="C344" s="316" t="s">
        <v>621</v>
      </c>
      <c r="D344" s="274"/>
    </row>
    <row r="345" spans="2:4" ht="12">
      <c r="B345" s="274"/>
      <c r="C345" s="274">
        <f>B345*50%</f>
        <v>0</v>
      </c>
      <c r="D345" s="274">
        <f>ROUND(C345/1000,0)</f>
        <v>0</v>
      </c>
    </row>
    <row r="346" spans="1:4" ht="12">
      <c r="A346" s="37" t="s">
        <v>622</v>
      </c>
      <c r="B346" s="274"/>
      <c r="C346" s="274"/>
      <c r="D346" s="274"/>
    </row>
    <row r="347" spans="1:4" ht="12">
      <c r="A347" s="37" t="s">
        <v>1259</v>
      </c>
      <c r="B347" s="325">
        <f>étk!$G$25</f>
        <v>0.18809980806142035</v>
      </c>
      <c r="C347" s="274"/>
      <c r="D347" s="274"/>
    </row>
    <row r="348" spans="2:4" ht="12">
      <c r="B348" s="292" t="s">
        <v>620</v>
      </c>
      <c r="C348" s="292" t="s">
        <v>621</v>
      </c>
      <c r="D348" s="304"/>
    </row>
    <row r="349" spans="2:4" ht="12">
      <c r="B349" s="304">
        <f>bev!$C$167*B347</f>
        <v>112322.24807856533</v>
      </c>
      <c r="C349" s="304">
        <f>B349*50%</f>
        <v>56161.124039282666</v>
      </c>
      <c r="D349" s="304">
        <f>ROUND(C349/1000,0)</f>
        <v>56</v>
      </c>
    </row>
    <row r="350" spans="1:4" ht="12">
      <c r="A350" s="37" t="s">
        <v>624</v>
      </c>
      <c r="B350" s="325">
        <f>étk!$H$25</f>
        <v>0.4450233068275295</v>
      </c>
      <c r="C350" s="274"/>
      <c r="D350" s="274"/>
    </row>
    <row r="351" spans="2:4" ht="12">
      <c r="B351" s="292" t="s">
        <v>620</v>
      </c>
      <c r="C351" s="292" t="s">
        <v>621</v>
      </c>
      <c r="D351" s="304"/>
    </row>
    <row r="352" spans="2:4" ht="12">
      <c r="B352" s="304">
        <f>bev!$C$167*B350</f>
        <v>265741.995089667</v>
      </c>
      <c r="C352" s="304">
        <f>B352*100%</f>
        <v>265741.995089667</v>
      </c>
      <c r="D352" s="304">
        <f>ROUND(C352/1000,0)</f>
        <v>266</v>
      </c>
    </row>
    <row r="353" spans="2:4" ht="12">
      <c r="B353" s="304"/>
      <c r="C353" s="304"/>
      <c r="D353" s="304"/>
    </row>
    <row r="354" spans="1:4" ht="12">
      <c r="A354" s="37" t="s">
        <v>625</v>
      </c>
      <c r="B354" s="304"/>
      <c r="C354" s="304">
        <v>0</v>
      </c>
      <c r="D354" s="304">
        <f>ROUND(C354/1000,0)</f>
        <v>0</v>
      </c>
    </row>
    <row r="355" spans="1:4" ht="12">
      <c r="A355" s="37" t="s">
        <v>617</v>
      </c>
      <c r="B355" s="304"/>
      <c r="C355" s="304"/>
      <c r="D355" s="304"/>
    </row>
    <row r="357" spans="1:4" ht="12">
      <c r="A357" s="37" t="s">
        <v>615</v>
      </c>
      <c r="C357" s="274">
        <f>C330+C331+C333+C355</f>
        <v>30000</v>
      </c>
      <c r="D357" s="274">
        <f>D330+D331+D333+D355</f>
        <v>30</v>
      </c>
    </row>
    <row r="359" spans="1:4" ht="12">
      <c r="A359" s="61" t="s">
        <v>935</v>
      </c>
      <c r="B359" s="226"/>
      <c r="C359" s="226">
        <f>C327+C357</f>
        <v>292500</v>
      </c>
      <c r="D359" s="226">
        <f>D327+D357</f>
        <v>293</v>
      </c>
    </row>
    <row r="360" spans="1:4" ht="12">
      <c r="A360" s="61"/>
      <c r="B360" s="226"/>
      <c r="C360" s="226"/>
      <c r="D360" s="226"/>
    </row>
    <row r="361" spans="1:4" ht="12">
      <c r="A361" s="327">
        <v>851967</v>
      </c>
      <c r="B361" s="226"/>
      <c r="C361" s="226"/>
      <c r="D361" s="226"/>
    </row>
    <row r="363" spans="1:4" ht="12">
      <c r="A363" s="37" t="s">
        <v>685</v>
      </c>
      <c r="C363" s="274">
        <v>25413</v>
      </c>
      <c r="D363" s="274">
        <v>25</v>
      </c>
    </row>
    <row r="364" spans="1:4" ht="12">
      <c r="A364" s="37" t="s">
        <v>686</v>
      </c>
      <c r="C364" s="274">
        <v>154502</v>
      </c>
      <c r="D364" s="274">
        <v>155</v>
      </c>
    </row>
    <row r="365" spans="1:4" ht="12">
      <c r="A365" s="37" t="s">
        <v>687</v>
      </c>
      <c r="C365" s="274">
        <v>69717</v>
      </c>
      <c r="D365" s="274">
        <v>70</v>
      </c>
    </row>
    <row r="366" spans="1:4" ht="12">
      <c r="A366" s="37" t="s">
        <v>688</v>
      </c>
      <c r="C366" s="274">
        <v>45049</v>
      </c>
      <c r="D366" s="274">
        <v>45</v>
      </c>
    </row>
    <row r="367" spans="3:4" ht="12">
      <c r="C367" s="274"/>
      <c r="D367" s="274"/>
    </row>
    <row r="368" spans="1:4" ht="12">
      <c r="A368" s="61" t="s">
        <v>689</v>
      </c>
      <c r="B368" s="226"/>
      <c r="C368" s="291">
        <f>C363+C364+C365+C366</f>
        <v>294681</v>
      </c>
      <c r="D368" s="291">
        <f>D363+D3663+D365+D366+D364</f>
        <v>295</v>
      </c>
    </row>
    <row r="369" spans="1:4" ht="12">
      <c r="A369" s="61"/>
      <c r="B369" s="226"/>
      <c r="C369" s="291"/>
      <c r="D369" s="291"/>
    </row>
    <row r="370" spans="1:4" ht="12">
      <c r="A370" s="328">
        <v>853322</v>
      </c>
      <c r="B370" s="226"/>
      <c r="C370" s="291"/>
      <c r="D370" s="291"/>
    </row>
    <row r="371" spans="1:4" ht="12">
      <c r="A371" s="37" t="s">
        <v>690</v>
      </c>
      <c r="B371" s="226"/>
      <c r="C371" s="304">
        <v>660000</v>
      </c>
      <c r="D371" s="304">
        <v>660</v>
      </c>
    </row>
    <row r="372" spans="1:4" ht="12">
      <c r="A372" s="61"/>
      <c r="B372" s="226"/>
      <c r="C372" s="291"/>
      <c r="D372" s="291"/>
    </row>
    <row r="373" spans="1:4" ht="12">
      <c r="A373" s="61" t="s">
        <v>691</v>
      </c>
      <c r="B373" s="226"/>
      <c r="C373" s="291">
        <f>C371</f>
        <v>660000</v>
      </c>
      <c r="D373" s="291">
        <f>D371</f>
        <v>660</v>
      </c>
    </row>
    <row r="374" spans="1:4" ht="12">
      <c r="A374" s="61"/>
      <c r="B374" s="226"/>
      <c r="C374" s="291"/>
      <c r="D374" s="291"/>
    </row>
    <row r="375" spans="1:4" ht="12">
      <c r="A375" s="327">
        <v>853288</v>
      </c>
      <c r="B375" s="226"/>
      <c r="C375" s="291"/>
      <c r="D375" s="291"/>
    </row>
    <row r="376" spans="1:4" ht="12">
      <c r="A376" s="61"/>
      <c r="B376" s="226"/>
      <c r="C376" s="291"/>
      <c r="D376" s="291"/>
    </row>
    <row r="377" spans="1:4" ht="12">
      <c r="A377" s="37" t="s">
        <v>692</v>
      </c>
      <c r="C377" s="304">
        <v>1345435</v>
      </c>
      <c r="D377" s="304">
        <v>1345</v>
      </c>
    </row>
    <row r="378" spans="1:4" ht="12">
      <c r="A378" s="61"/>
      <c r="B378" s="226"/>
      <c r="C378" s="291"/>
      <c r="D378" s="291"/>
    </row>
    <row r="379" spans="1:4" ht="12">
      <c r="A379" s="61" t="s">
        <v>693</v>
      </c>
      <c r="B379" s="226"/>
      <c r="C379" s="291">
        <f>C377</f>
        <v>1345435</v>
      </c>
      <c r="D379" s="291">
        <f>D377</f>
        <v>1345</v>
      </c>
    </row>
    <row r="380" spans="1:4" ht="12">
      <c r="A380" s="61"/>
      <c r="B380" s="226"/>
      <c r="C380" s="291"/>
      <c r="D380" s="291"/>
    </row>
    <row r="381" spans="1:4" ht="12">
      <c r="A381" s="61"/>
      <c r="B381" s="226"/>
      <c r="C381" s="291"/>
      <c r="D381" s="291"/>
    </row>
    <row r="382" spans="1:4" ht="12">
      <c r="A382" s="61"/>
      <c r="B382" s="226"/>
      <c r="C382" s="291"/>
      <c r="D382" s="291"/>
    </row>
    <row r="383" spans="1:4" ht="12">
      <c r="A383" s="61"/>
      <c r="B383" s="226"/>
      <c r="C383" s="291"/>
      <c r="D383" s="291"/>
    </row>
    <row r="384" spans="1:4" ht="12">
      <c r="A384" s="61"/>
      <c r="B384" s="226"/>
      <c r="C384" s="291"/>
      <c r="D384" s="291"/>
    </row>
    <row r="385" spans="1:4" ht="12">
      <c r="A385" s="61"/>
      <c r="B385" s="226"/>
      <c r="C385" s="291"/>
      <c r="D385" s="291"/>
    </row>
    <row r="386" spans="1:4" ht="12">
      <c r="A386" s="61"/>
      <c r="B386" s="226"/>
      <c r="C386" s="291"/>
      <c r="D386" s="291"/>
    </row>
    <row r="387" spans="1:4" ht="12">
      <c r="A387" s="61"/>
      <c r="B387" s="226"/>
      <c r="C387" s="291"/>
      <c r="D387" s="291"/>
    </row>
    <row r="388" spans="3:4" ht="12">
      <c r="C388" s="304"/>
      <c r="D388" s="304"/>
    </row>
    <row r="389" spans="3:4" ht="12">
      <c r="C389" s="304"/>
      <c r="D389" s="304"/>
    </row>
    <row r="390" spans="1:4" ht="12">
      <c r="A390" s="145" t="s">
        <v>1261</v>
      </c>
      <c r="B390" s="241"/>
      <c r="C390" s="329">
        <f>C79+C93+C188+C205+C288+C307+C359</f>
        <v>30031612</v>
      </c>
      <c r="D390" s="329">
        <f>D79+D93+D188+D205+D288+D307+D359</f>
        <v>30032</v>
      </c>
    </row>
    <row r="391" spans="3:4" ht="12">
      <c r="C391" s="274"/>
      <c r="D391" s="274"/>
    </row>
    <row r="392" spans="3:4" ht="12">
      <c r="C392" s="274"/>
      <c r="D392" s="274"/>
    </row>
    <row r="393" spans="3:4" ht="12">
      <c r="C393" s="274"/>
      <c r="D393" s="274"/>
    </row>
  </sheetData>
  <sheetProtection/>
  <mergeCells count="8">
    <mergeCell ref="A311:D311"/>
    <mergeCell ref="A209:D209"/>
    <mergeCell ref="A210:D210"/>
    <mergeCell ref="A5:D5"/>
    <mergeCell ref="A83:D83"/>
    <mergeCell ref="A97:D97"/>
    <mergeCell ref="A193:D193"/>
    <mergeCell ref="A292:D292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KÖLTSÉGVETÉSE&amp;"Arial CE,Normál"&amp;10
&amp;R&amp;"Arial,Dőlt"&amp;8Foglalkoztatás és szociálpolitikai feladatok</oddHeader>
    <oddFooter>&amp;C&amp;"Arial,Dőlt"&amp;8&amp;P. oldal</oddFooter>
  </headerFooter>
  <rowBreaks count="3" manualBreakCount="3">
    <brk id="115" max="255" man="1"/>
    <brk id="154" max="255" man="1"/>
    <brk id="2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9">
      <selection activeCell="G102" sqref="G102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61" t="s">
        <v>5</v>
      </c>
    </row>
    <row r="3" spans="1:4" ht="53.25" customHeight="1">
      <c r="A3" s="363" t="s">
        <v>75</v>
      </c>
      <c r="B3" s="361"/>
      <c r="C3" s="361"/>
      <c r="D3" s="361"/>
    </row>
    <row r="5" spans="1:4" ht="26.25" customHeight="1">
      <c r="A5" s="363" t="s">
        <v>76</v>
      </c>
      <c r="B5" s="361"/>
      <c r="C5" s="361"/>
      <c r="D5" s="361"/>
    </row>
    <row r="7" ht="12">
      <c r="A7" s="37" t="s">
        <v>77</v>
      </c>
    </row>
    <row r="9" spans="1:4" ht="12">
      <c r="A9" s="37" t="s">
        <v>78</v>
      </c>
      <c r="D9" s="55">
        <f>ROUND(C9/1000,0)</f>
        <v>0</v>
      </c>
    </row>
    <row r="12" spans="1:4" s="61" customFormat="1" ht="12">
      <c r="A12" s="61" t="s">
        <v>79</v>
      </c>
      <c r="B12" s="226"/>
      <c r="C12" s="226">
        <f>C9</f>
        <v>0</v>
      </c>
      <c r="D12" s="226">
        <f>D9</f>
        <v>0</v>
      </c>
    </row>
    <row r="15" ht="12">
      <c r="A15" s="61" t="s">
        <v>191</v>
      </c>
    </row>
    <row r="17" spans="1:4" ht="29.25" customHeight="1">
      <c r="A17" s="363" t="s">
        <v>192</v>
      </c>
      <c r="B17" s="361"/>
      <c r="C17" s="361"/>
      <c r="D17" s="361"/>
    </row>
    <row r="19" ht="12">
      <c r="A19" s="37" t="s">
        <v>193</v>
      </c>
    </row>
    <row r="20" ht="12">
      <c r="A20" s="37" t="s">
        <v>194</v>
      </c>
    </row>
    <row r="22" ht="12">
      <c r="A22" s="37" t="s">
        <v>80</v>
      </c>
    </row>
    <row r="23" spans="2:3" ht="12">
      <c r="B23" s="13" t="s">
        <v>665</v>
      </c>
      <c r="C23" s="63" t="s">
        <v>666</v>
      </c>
    </row>
    <row r="24" spans="1:4" ht="12">
      <c r="A24" s="37" t="s">
        <v>81</v>
      </c>
      <c r="B24" s="317">
        <v>45000</v>
      </c>
      <c r="C24" s="304">
        <v>45000</v>
      </c>
      <c r="D24" s="304">
        <f>ROUND(C24/1000,0)</f>
        <v>45</v>
      </c>
    </row>
    <row r="27" ht="12">
      <c r="A27" s="9" t="s">
        <v>92</v>
      </c>
    </row>
    <row r="29" ht="12">
      <c r="A29" s="61" t="s">
        <v>257</v>
      </c>
    </row>
    <row r="31" ht="12">
      <c r="A31" s="9" t="s">
        <v>1625</v>
      </c>
    </row>
    <row r="33" spans="1:3" ht="12">
      <c r="A33" s="37" t="s">
        <v>82</v>
      </c>
      <c r="B33" s="28" t="s">
        <v>1484</v>
      </c>
      <c r="C33" s="28" t="s">
        <v>1301</v>
      </c>
    </row>
    <row r="34" spans="1:4" ht="12">
      <c r="A34" s="37" t="s">
        <v>1513</v>
      </c>
      <c r="B34" s="335">
        <f>kab!I27</f>
        <v>64200</v>
      </c>
      <c r="C34" s="335">
        <f>B34*1</f>
        <v>64200</v>
      </c>
      <c r="D34" s="274"/>
    </row>
    <row r="35" spans="1:4" ht="12">
      <c r="A35" s="37" t="s">
        <v>1514</v>
      </c>
      <c r="B35" s="335">
        <f>kab!H27</f>
        <v>140000</v>
      </c>
      <c r="C35" s="335">
        <f>B35*11</f>
        <v>1540000</v>
      </c>
      <c r="D35" s="274"/>
    </row>
    <row r="36" spans="1:4" ht="12">
      <c r="A36" s="37" t="s">
        <v>853</v>
      </c>
      <c r="B36" s="274"/>
      <c r="C36" s="335">
        <f>kab!H27</f>
        <v>140000</v>
      </c>
      <c r="D36" s="274"/>
    </row>
    <row r="37" spans="1:4" ht="12">
      <c r="A37" s="37" t="s">
        <v>1515</v>
      </c>
      <c r="B37" s="274"/>
      <c r="C37" s="274">
        <f>SUM(C34:C36)</f>
        <v>1744200</v>
      </c>
      <c r="D37" s="274"/>
    </row>
    <row r="38" spans="2:4" ht="12">
      <c r="B38" s="274"/>
      <c r="C38" s="274"/>
      <c r="D38" s="274"/>
    </row>
    <row r="39" spans="1:4" s="9" customFormat="1" ht="12">
      <c r="A39" s="9" t="s">
        <v>1625</v>
      </c>
      <c r="B39" s="280"/>
      <c r="C39" s="280">
        <f>C37</f>
        <v>1744200</v>
      </c>
      <c r="D39" s="304">
        <f>ROUND(C39/1000,0)</f>
        <v>1744</v>
      </c>
    </row>
    <row r="41" ht="12">
      <c r="A41" s="9" t="s">
        <v>1303</v>
      </c>
    </row>
    <row r="43" spans="1:4" ht="12">
      <c r="A43" s="37" t="s">
        <v>1307</v>
      </c>
      <c r="B43" s="274"/>
      <c r="C43" s="274"/>
      <c r="D43" s="274"/>
    </row>
    <row r="44" spans="1:4" ht="12">
      <c r="A44" s="37" t="s">
        <v>120</v>
      </c>
      <c r="B44" s="336">
        <v>1</v>
      </c>
      <c r="C44" s="274"/>
      <c r="D44" s="274"/>
    </row>
    <row r="45" spans="1:4" ht="12">
      <c r="A45" s="37" t="s">
        <v>121</v>
      </c>
      <c r="B45" s="274">
        <v>6000</v>
      </c>
      <c r="C45" s="274">
        <f>B44*B45*12</f>
        <v>72000</v>
      </c>
      <c r="D45" s="274">
        <f>ROUND(C45/1000,0)</f>
        <v>72</v>
      </c>
    </row>
    <row r="46" spans="1:4" ht="12">
      <c r="A46" s="37" t="s">
        <v>83</v>
      </c>
      <c r="B46" s="274"/>
      <c r="C46" s="274"/>
      <c r="D46" s="274"/>
    </row>
    <row r="47" spans="2:4" ht="12">
      <c r="B47" s="274"/>
      <c r="C47" s="274"/>
      <c r="D47" s="274"/>
    </row>
    <row r="48" spans="1:4" s="9" customFormat="1" ht="12">
      <c r="A48" s="9" t="s">
        <v>752</v>
      </c>
      <c r="B48" s="280"/>
      <c r="C48" s="280">
        <f>SUM(C45:C47)</f>
        <v>72000</v>
      </c>
      <c r="D48" s="304">
        <f>ROUND(C48/1000,0)</f>
        <v>72</v>
      </c>
    </row>
    <row r="49" spans="1:4" s="9" customFormat="1" ht="12">
      <c r="A49" s="9" t="s">
        <v>1488</v>
      </c>
      <c r="B49" s="324"/>
      <c r="C49" s="324"/>
      <c r="D49" s="324"/>
    </row>
    <row r="50" spans="1:4" s="9" customFormat="1" ht="12">
      <c r="A50" s="37" t="s">
        <v>623</v>
      </c>
      <c r="B50" s="243"/>
      <c r="C50" s="243"/>
      <c r="D50" s="243"/>
    </row>
    <row r="51" ht="12">
      <c r="A51" s="9" t="s">
        <v>1489</v>
      </c>
    </row>
    <row r="52" spans="1:4" s="61" customFormat="1" ht="12">
      <c r="A52" s="61" t="s">
        <v>753</v>
      </c>
      <c r="B52" s="226"/>
      <c r="C52" s="226">
        <f>C39+C48+C51</f>
        <v>1816200</v>
      </c>
      <c r="D52" s="226">
        <f>D39+D48+D51</f>
        <v>1816</v>
      </c>
    </row>
    <row r="55" ht="12">
      <c r="A55" s="61" t="s">
        <v>754</v>
      </c>
    </row>
    <row r="56" ht="12">
      <c r="A56" s="61"/>
    </row>
    <row r="57" spans="1:3" ht="12">
      <c r="A57" s="37" t="s">
        <v>755</v>
      </c>
      <c r="B57" s="63" t="s">
        <v>1316</v>
      </c>
      <c r="C57" s="63" t="s">
        <v>599</v>
      </c>
    </row>
    <row r="58" spans="1:4" ht="12">
      <c r="A58" s="37" t="s">
        <v>600</v>
      </c>
      <c r="B58" s="274">
        <f>C39</f>
        <v>1744200</v>
      </c>
      <c r="C58" s="274">
        <f>B58*24%</f>
        <v>418608</v>
      </c>
      <c r="D58" s="274">
        <f>ROUND(C58/1000,0)+1</f>
        <v>420</v>
      </c>
    </row>
    <row r="59" spans="2:4" ht="12">
      <c r="B59" s="273" t="s">
        <v>1316</v>
      </c>
      <c r="C59" s="273" t="s">
        <v>601</v>
      </c>
      <c r="D59" s="304"/>
    </row>
    <row r="60" spans="1:4" ht="12">
      <c r="A60" s="37" t="s">
        <v>602</v>
      </c>
      <c r="B60" s="304">
        <f>C39</f>
        <v>1744200</v>
      </c>
      <c r="C60" s="304">
        <f>B60*4.5%</f>
        <v>78489</v>
      </c>
      <c r="D60" s="304">
        <f>ROUND(C60/1000,0)</f>
        <v>78</v>
      </c>
    </row>
    <row r="61" spans="2:4" ht="12">
      <c r="B61" s="312" t="s">
        <v>1316</v>
      </c>
      <c r="C61" s="312" t="s">
        <v>604</v>
      </c>
      <c r="D61" s="274"/>
    </row>
    <row r="62" spans="1:4" ht="12">
      <c r="A62" s="37" t="s">
        <v>603</v>
      </c>
      <c r="B62" s="274">
        <f>C39</f>
        <v>1744200</v>
      </c>
      <c r="C62" s="274">
        <f>B62*0.5%</f>
        <v>8721</v>
      </c>
      <c r="D62" s="274">
        <f>ROUND(C62/1000,0)</f>
        <v>9</v>
      </c>
    </row>
    <row r="63" spans="1:4" ht="12">
      <c r="A63" s="37" t="s">
        <v>605</v>
      </c>
      <c r="B63" s="274"/>
      <c r="C63" s="274">
        <f>C58+C60+C62</f>
        <v>505818</v>
      </c>
      <c r="D63" s="274">
        <f>D58+D60+D62</f>
        <v>507</v>
      </c>
    </row>
    <row r="64" spans="2:4" ht="12">
      <c r="B64" s="274"/>
      <c r="C64" s="274"/>
      <c r="D64" s="274"/>
    </row>
    <row r="65" spans="2:4" ht="12">
      <c r="B65" s="273" t="s">
        <v>1316</v>
      </c>
      <c r="C65" s="273" t="s">
        <v>1317</v>
      </c>
      <c r="D65" s="304"/>
    </row>
    <row r="66" spans="1:4" ht="12">
      <c r="A66" s="37" t="s">
        <v>1318</v>
      </c>
      <c r="B66" s="304">
        <f>C39</f>
        <v>1744200</v>
      </c>
      <c r="C66" s="304">
        <f>B66*3%</f>
        <v>52326</v>
      </c>
      <c r="D66" s="304">
        <f>ROUND(C66/1000,0)</f>
        <v>52</v>
      </c>
    </row>
    <row r="68" spans="1:4" ht="12">
      <c r="A68" s="37" t="s">
        <v>301</v>
      </c>
      <c r="B68" s="274"/>
      <c r="C68" s="274"/>
      <c r="D68" s="274"/>
    </row>
    <row r="69" spans="1:4" ht="12">
      <c r="A69" s="37" t="s">
        <v>302</v>
      </c>
      <c r="B69" s="274">
        <v>1</v>
      </c>
      <c r="C69" s="274"/>
      <c r="D69" s="274"/>
    </row>
    <row r="70" spans="1:4" s="61" customFormat="1" ht="12">
      <c r="A70" s="37" t="s">
        <v>706</v>
      </c>
      <c r="B70" s="274">
        <v>1950</v>
      </c>
      <c r="C70" s="274">
        <f>B69*B70*12</f>
        <v>23400</v>
      </c>
      <c r="D70" s="274"/>
    </row>
    <row r="71" spans="2:4" ht="12">
      <c r="B71" s="292" t="s">
        <v>620</v>
      </c>
      <c r="C71" s="292" t="s">
        <v>1126</v>
      </c>
      <c r="D71" s="304"/>
    </row>
    <row r="72" spans="1:4" ht="12">
      <c r="A72" s="37" t="s">
        <v>1125</v>
      </c>
      <c r="B72" s="304">
        <f>C46+C51</f>
        <v>0</v>
      </c>
      <c r="C72" s="304">
        <f>B72*11%</f>
        <v>0</v>
      </c>
      <c r="D72" s="304"/>
    </row>
    <row r="73" spans="1:4" ht="12">
      <c r="A73" s="37" t="s">
        <v>301</v>
      </c>
      <c r="B73" s="304"/>
      <c r="C73" s="304">
        <f>C70+C72</f>
        <v>23400</v>
      </c>
      <c r="D73" s="304">
        <f>ROUND(C73/1000,0)</f>
        <v>23</v>
      </c>
    </row>
    <row r="74" spans="1:4" ht="12">
      <c r="A74" s="61"/>
      <c r="B74" s="304"/>
      <c r="C74" s="304"/>
      <c r="D74" s="304"/>
    </row>
    <row r="75" spans="1:4" ht="12">
      <c r="A75" s="61" t="s">
        <v>754</v>
      </c>
      <c r="B75" s="226"/>
      <c r="C75" s="226">
        <f>C58+C60+C62+C66+C73</f>
        <v>581544</v>
      </c>
      <c r="D75" s="226">
        <f>D58+D60+D62+D66+D73</f>
        <v>582</v>
      </c>
    </row>
    <row r="77" ht="12">
      <c r="A77" s="61" t="s">
        <v>756</v>
      </c>
    </row>
    <row r="79" ht="12">
      <c r="A79" s="9" t="s">
        <v>308</v>
      </c>
    </row>
    <row r="80" spans="2:3" ht="12">
      <c r="B80" s="13" t="s">
        <v>665</v>
      </c>
      <c r="C80" s="63" t="s">
        <v>666</v>
      </c>
    </row>
    <row r="81" spans="1:4" s="9" customFormat="1" ht="12">
      <c r="A81" s="37" t="s">
        <v>84</v>
      </c>
      <c r="B81" s="280"/>
      <c r="C81" s="304">
        <v>5000</v>
      </c>
      <c r="D81" s="304">
        <f aca="true" t="shared" si="0" ref="D81:D87">ROUND(C81/1000,0)</f>
        <v>5</v>
      </c>
    </row>
    <row r="82" spans="1:4" ht="12">
      <c r="A82" s="37" t="s">
        <v>93</v>
      </c>
      <c r="B82" s="324"/>
      <c r="C82" s="274">
        <v>10000</v>
      </c>
      <c r="D82" s="274">
        <f t="shared" si="0"/>
        <v>10</v>
      </c>
    </row>
    <row r="83" spans="1:4" ht="12">
      <c r="A83" s="37" t="s">
        <v>94</v>
      </c>
      <c r="B83" s="280"/>
      <c r="C83" s="304">
        <v>5000</v>
      </c>
      <c r="D83" s="304">
        <f t="shared" si="0"/>
        <v>5</v>
      </c>
    </row>
    <row r="84" spans="1:4" ht="12">
      <c r="A84" s="37" t="s">
        <v>95</v>
      </c>
      <c r="B84" s="324"/>
      <c r="C84" s="274">
        <v>5000</v>
      </c>
      <c r="D84" s="274">
        <f t="shared" si="0"/>
        <v>5</v>
      </c>
    </row>
    <row r="85" spans="1:4" ht="12">
      <c r="A85" s="37" t="s">
        <v>85</v>
      </c>
      <c r="B85" s="280"/>
      <c r="C85" s="304"/>
      <c r="D85" s="304">
        <f t="shared" si="0"/>
        <v>0</v>
      </c>
    </row>
    <row r="86" spans="1:4" ht="12">
      <c r="A86" s="37" t="s">
        <v>485</v>
      </c>
      <c r="B86" s="318">
        <v>682500</v>
      </c>
      <c r="C86" s="274">
        <v>15000</v>
      </c>
      <c r="D86" s="274">
        <f t="shared" si="0"/>
        <v>15</v>
      </c>
    </row>
    <row r="87" spans="1:4" ht="12">
      <c r="A87" s="37" t="s">
        <v>86</v>
      </c>
      <c r="B87" s="280">
        <v>39713</v>
      </c>
      <c r="C87" s="304">
        <v>60000</v>
      </c>
      <c r="D87" s="304">
        <f t="shared" si="0"/>
        <v>60</v>
      </c>
    </row>
    <row r="88" spans="1:4" ht="12">
      <c r="A88" s="9" t="s">
        <v>1286</v>
      </c>
      <c r="B88" s="324"/>
      <c r="C88" s="324">
        <f>SUM(C81:C87)</f>
        <v>100000</v>
      </c>
      <c r="D88" s="324">
        <f>SUM(D81:D87)</f>
        <v>100</v>
      </c>
    </row>
    <row r="90" spans="1:2" ht="12">
      <c r="A90" s="9" t="s">
        <v>310</v>
      </c>
      <c r="B90" s="243"/>
    </row>
    <row r="91" spans="1:4" s="9" customFormat="1" ht="12">
      <c r="A91" s="37" t="s">
        <v>1056</v>
      </c>
      <c r="B91" s="280">
        <v>30281</v>
      </c>
      <c r="C91" s="304">
        <v>30000</v>
      </c>
      <c r="D91" s="304">
        <f aca="true" t="shared" si="1" ref="D91:D96">ROUND(C91/1000,0)</f>
        <v>30</v>
      </c>
    </row>
    <row r="92" spans="1:4" ht="12">
      <c r="A92" s="37" t="s">
        <v>1580</v>
      </c>
      <c r="B92" s="324">
        <v>516094</v>
      </c>
      <c r="C92" s="274">
        <v>499000</v>
      </c>
      <c r="D92" s="274">
        <f t="shared" si="1"/>
        <v>499</v>
      </c>
    </row>
    <row r="93" spans="1:4" ht="12">
      <c r="A93" s="37" t="s">
        <v>87</v>
      </c>
      <c r="B93" s="280">
        <v>214683</v>
      </c>
      <c r="C93" s="304">
        <v>220000</v>
      </c>
      <c r="D93" s="304">
        <f t="shared" si="1"/>
        <v>220</v>
      </c>
    </row>
    <row r="94" spans="1:4" ht="12">
      <c r="A94" s="37" t="s">
        <v>88</v>
      </c>
      <c r="B94" s="324">
        <v>4170</v>
      </c>
      <c r="C94" s="274">
        <v>5000</v>
      </c>
      <c r="D94" s="274">
        <f t="shared" si="1"/>
        <v>5</v>
      </c>
    </row>
    <row r="95" spans="1:4" ht="12">
      <c r="A95" s="37" t="s">
        <v>89</v>
      </c>
      <c r="B95" s="280">
        <v>19859</v>
      </c>
      <c r="C95" s="304">
        <v>20000</v>
      </c>
      <c r="D95" s="304">
        <f t="shared" si="1"/>
        <v>20</v>
      </c>
    </row>
    <row r="96" spans="1:4" ht="12">
      <c r="A96" s="37" t="s">
        <v>90</v>
      </c>
      <c r="B96" s="324">
        <v>0</v>
      </c>
      <c r="C96" s="274">
        <v>5000</v>
      </c>
      <c r="D96" s="274">
        <f t="shared" si="1"/>
        <v>5</v>
      </c>
    </row>
    <row r="97" spans="1:4" ht="12">
      <c r="A97" s="9" t="s">
        <v>310</v>
      </c>
      <c r="B97" s="280"/>
      <c r="C97" s="280">
        <f>SUM(C91:C96)</f>
        <v>779000</v>
      </c>
      <c r="D97" s="280">
        <f>SUM(D91:D96)</f>
        <v>779</v>
      </c>
    </row>
    <row r="98" spans="2:4" ht="12">
      <c r="B98" s="304"/>
      <c r="C98" s="304"/>
      <c r="D98" s="304"/>
    </row>
    <row r="99" spans="1:4" ht="12">
      <c r="A99" s="9" t="s">
        <v>314</v>
      </c>
      <c r="B99" s="304"/>
      <c r="C99" s="304"/>
      <c r="D99" s="304"/>
    </row>
    <row r="100" spans="1:4" ht="12">
      <c r="A100" s="37" t="s">
        <v>1665</v>
      </c>
      <c r="B100" s="312" t="s">
        <v>316</v>
      </c>
      <c r="C100" s="312" t="s">
        <v>317</v>
      </c>
      <c r="D100" s="274"/>
    </row>
    <row r="101" spans="1:4" s="9" customFormat="1" ht="12">
      <c r="A101" s="37" t="s">
        <v>1161</v>
      </c>
      <c r="B101" s="274"/>
      <c r="C101" s="274">
        <f>B101*15%</f>
        <v>0</v>
      </c>
      <c r="D101" s="274"/>
    </row>
    <row r="102" spans="1:4" ht="12">
      <c r="A102" s="37" t="s">
        <v>1162</v>
      </c>
      <c r="B102" s="274">
        <f>C88+C97</f>
        <v>879000</v>
      </c>
      <c r="C102" s="274">
        <v>180800</v>
      </c>
      <c r="D102" s="274">
        <f>ROUND(C102/1000,0)</f>
        <v>181</v>
      </c>
    </row>
    <row r="103" spans="1:4" s="61" customFormat="1" ht="12">
      <c r="A103" s="37" t="s">
        <v>580</v>
      </c>
      <c r="B103" s="274"/>
      <c r="C103" s="274">
        <f>SUM(C101:C102)</f>
        <v>180800</v>
      </c>
      <c r="D103" s="274">
        <f>SUM(D101:D102)</f>
        <v>181</v>
      </c>
    </row>
    <row r="104" spans="1:4" s="61" customFormat="1" ht="12">
      <c r="A104" s="37"/>
      <c r="B104" s="274"/>
      <c r="C104" s="274"/>
      <c r="D104" s="274"/>
    </row>
    <row r="105" spans="1:4" s="61" customFormat="1" ht="12">
      <c r="A105" s="37" t="s">
        <v>1443</v>
      </c>
      <c r="B105" s="274"/>
      <c r="C105" s="274">
        <v>5000</v>
      </c>
      <c r="D105" s="274">
        <v>5</v>
      </c>
    </row>
    <row r="106" spans="1:4" s="61" customFormat="1" ht="12">
      <c r="A106" s="37"/>
      <c r="B106" s="274"/>
      <c r="C106" s="274"/>
      <c r="D106" s="274"/>
    </row>
    <row r="107" spans="1:4" s="61" customFormat="1" ht="12">
      <c r="A107" s="9" t="s">
        <v>590</v>
      </c>
      <c r="B107" s="280"/>
      <c r="C107" s="280">
        <f>C103+C105</f>
        <v>185800</v>
      </c>
      <c r="D107" s="280">
        <f>D103+D105</f>
        <v>186</v>
      </c>
    </row>
    <row r="108" spans="2:4" ht="12">
      <c r="B108" s="304"/>
      <c r="C108" s="304"/>
      <c r="D108" s="304"/>
    </row>
    <row r="109" spans="1:4" ht="12">
      <c r="A109" s="61" t="s">
        <v>756</v>
      </c>
      <c r="B109" s="291"/>
      <c r="C109" s="291">
        <f>C88+C97+C107</f>
        <v>1064800</v>
      </c>
      <c r="D109" s="291">
        <f>D88+D97+D107</f>
        <v>1065</v>
      </c>
    </row>
    <row r="110" spans="2:4" s="61" customFormat="1" ht="12">
      <c r="B110" s="291"/>
      <c r="C110" s="291"/>
      <c r="D110" s="291"/>
    </row>
    <row r="111" spans="1:4" ht="12">
      <c r="A111" s="61" t="s">
        <v>999</v>
      </c>
      <c r="B111" s="291"/>
      <c r="C111" s="291">
        <f>C24+C52+C75+C109</f>
        <v>3507544</v>
      </c>
      <c r="D111" s="291">
        <f>D24+D52+D75+D109</f>
        <v>3508</v>
      </c>
    </row>
    <row r="112" spans="2:4" s="61" customFormat="1" ht="12">
      <c r="B112" s="226"/>
      <c r="C112" s="226"/>
      <c r="D112" s="226"/>
    </row>
    <row r="113" spans="1:4" ht="12">
      <c r="A113" s="61" t="s">
        <v>1003</v>
      </c>
      <c r="B113" s="226"/>
      <c r="C113" s="226"/>
      <c r="D113" s="226"/>
    </row>
    <row r="114" spans="1:4" s="145" customFormat="1" ht="12">
      <c r="A114" s="37"/>
      <c r="B114" s="55"/>
      <c r="C114" s="55"/>
      <c r="D114" s="55"/>
    </row>
    <row r="116" spans="1:4" ht="12">
      <c r="A116" s="61" t="s">
        <v>1004</v>
      </c>
      <c r="B116" s="226"/>
      <c r="C116" s="226">
        <f>SUM(C114:C115)</f>
        <v>0</v>
      </c>
      <c r="D116" s="226">
        <f>SUM(D114:D115)</f>
        <v>0</v>
      </c>
    </row>
    <row r="118" spans="1:4" ht="12">
      <c r="A118" s="61" t="s">
        <v>217</v>
      </c>
      <c r="B118" s="226"/>
      <c r="C118" s="291">
        <f>C111+C116</f>
        <v>3507544</v>
      </c>
      <c r="D118" s="291">
        <f>D24+D52+D75+D109</f>
        <v>3508</v>
      </c>
    </row>
    <row r="119" spans="3:4" ht="12">
      <c r="C119" s="304"/>
      <c r="D119" s="304"/>
    </row>
    <row r="120" spans="1:4" ht="12">
      <c r="A120" s="145" t="s">
        <v>91</v>
      </c>
      <c r="B120" s="241"/>
      <c r="C120" s="329">
        <f>C12+C118</f>
        <v>3507544</v>
      </c>
      <c r="D120" s="329">
        <f>D12+D118</f>
        <v>3508</v>
      </c>
    </row>
    <row r="121" spans="3:4" ht="12">
      <c r="C121" s="274"/>
      <c r="D121" s="274"/>
    </row>
  </sheetData>
  <sheetProtection/>
  <mergeCells count="3">
    <mergeCell ref="A3:D3"/>
    <mergeCell ref="A5:D5"/>
    <mergeCell ref="A17:D17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KÖLTSÉGVETÉSE&amp;R&amp;"Arial,Dőlt"&amp;8Önkormányzat elszámolásai és egyéb feladtok&amp;"Arial CE,Normál"&amp;10
</oddHeader>
    <oddFooter>&amp;C&amp;"Arial,Dőlt"&amp;8&amp;P. oldal</oddFooter>
  </headerFooter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61"/>
  <sheetViews>
    <sheetView zoomScalePageLayoutView="0" workbookViewId="0" topLeftCell="A37">
      <selection activeCell="F204" sqref="F204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spans="1:4" ht="27.75" customHeight="1">
      <c r="A1" s="363" t="s">
        <v>1615</v>
      </c>
      <c r="B1" s="361"/>
      <c r="C1" s="361"/>
      <c r="D1" s="361"/>
    </row>
    <row r="3" ht="12">
      <c r="A3" s="61" t="s">
        <v>104</v>
      </c>
    </row>
    <row r="5" spans="1:4" ht="25.5" customHeight="1">
      <c r="A5" s="363" t="s">
        <v>105</v>
      </c>
      <c r="B5" s="361"/>
      <c r="C5" s="361"/>
      <c r="D5" s="361"/>
    </row>
    <row r="7" ht="12">
      <c r="A7" s="37" t="s">
        <v>106</v>
      </c>
    </row>
    <row r="8" ht="12">
      <c r="A8" s="37" t="s">
        <v>107</v>
      </c>
    </row>
    <row r="10" spans="1:3" ht="12">
      <c r="A10" s="37" t="s">
        <v>1616</v>
      </c>
      <c r="C10" s="55">
        <f>C233</f>
        <v>931907.4134769348</v>
      </c>
    </row>
    <row r="11" spans="1:3" ht="12">
      <c r="A11" s="37" t="s">
        <v>1617</v>
      </c>
      <c r="C11" s="55">
        <f>C240</f>
        <v>57259.10816149596</v>
      </c>
    </row>
    <row r="12" spans="1:3" ht="12">
      <c r="A12" s="37" t="s">
        <v>1618</v>
      </c>
      <c r="C12" s="55">
        <f>C247</f>
        <v>327490.28806811164</v>
      </c>
    </row>
    <row r="13" spans="1:3" ht="12">
      <c r="A13" s="37" t="s">
        <v>1619</v>
      </c>
      <c r="C13" s="55">
        <f>C254</f>
        <v>1399667.0883921236</v>
      </c>
    </row>
    <row r="14" spans="1:4" ht="12">
      <c r="A14" s="37" t="s">
        <v>1486</v>
      </c>
      <c r="C14" s="55">
        <f>SUM(C10:C13)</f>
        <v>2716323.898098666</v>
      </c>
      <c r="D14" s="55">
        <f>ROUND(C14/1000,0)</f>
        <v>2716</v>
      </c>
    </row>
    <row r="16" spans="1:4" s="61" customFormat="1" ht="12">
      <c r="A16" s="61" t="s">
        <v>1620</v>
      </c>
      <c r="B16" s="226"/>
      <c r="C16" s="226">
        <f>C14</f>
        <v>2716323.898098666</v>
      </c>
      <c r="D16" s="226">
        <f>D14</f>
        <v>2716</v>
      </c>
    </row>
    <row r="18" ht="12">
      <c r="A18" s="61" t="s">
        <v>352</v>
      </c>
    </row>
    <row r="20" spans="1:4" ht="27" customHeight="1">
      <c r="A20" s="363" t="s">
        <v>365</v>
      </c>
      <c r="B20" s="361"/>
      <c r="C20" s="361"/>
      <c r="D20" s="361"/>
    </row>
    <row r="22" ht="12">
      <c r="A22" s="37" t="s">
        <v>106</v>
      </c>
    </row>
    <row r="23" ht="12">
      <c r="A23" s="37" t="s">
        <v>107</v>
      </c>
    </row>
    <row r="25" spans="1:3" ht="12">
      <c r="A25" s="37" t="s">
        <v>1616</v>
      </c>
      <c r="C25" s="55">
        <f>C234</f>
        <v>2854373.343891054</v>
      </c>
    </row>
    <row r="26" spans="1:3" ht="12">
      <c r="A26" s="37" t="s">
        <v>1617</v>
      </c>
      <c r="C26" s="55">
        <f>C241</f>
        <v>175381.01925958548</v>
      </c>
    </row>
    <row r="27" spans="1:3" ht="12">
      <c r="A27" s="37" t="s">
        <v>1618</v>
      </c>
      <c r="C27" s="55">
        <f>C248</f>
        <v>1003081.9962652401</v>
      </c>
    </row>
    <row r="28" spans="1:3" ht="12">
      <c r="A28" s="37" t="s">
        <v>1619</v>
      </c>
      <c r="C28" s="55">
        <f>C255</f>
        <v>4287091.5819009775</v>
      </c>
    </row>
    <row r="29" spans="1:4" ht="12">
      <c r="A29" s="37" t="s">
        <v>1486</v>
      </c>
      <c r="C29" s="55">
        <f>SUM(C25:C28)</f>
        <v>8319927.941316857</v>
      </c>
      <c r="D29" s="55">
        <f>ROUND(C29/1000,0)</f>
        <v>8320</v>
      </c>
    </row>
    <row r="31" spans="1:4" s="61" customFormat="1" ht="12">
      <c r="A31" s="61" t="s">
        <v>1621</v>
      </c>
      <c r="B31" s="226"/>
      <c r="C31" s="226">
        <f>C29</f>
        <v>8319927.941316857</v>
      </c>
      <c r="D31" s="226">
        <f>D29</f>
        <v>8320</v>
      </c>
    </row>
    <row r="33" ht="12">
      <c r="A33" s="61" t="s">
        <v>369</v>
      </c>
    </row>
    <row r="35" spans="1:4" ht="25.5" customHeight="1">
      <c r="A35" s="363" t="s">
        <v>1045</v>
      </c>
      <c r="B35" s="361"/>
      <c r="C35" s="361"/>
      <c r="D35" s="361"/>
    </row>
    <row r="37" ht="12">
      <c r="A37" s="37" t="s">
        <v>255</v>
      </c>
    </row>
    <row r="38" ht="12">
      <c r="A38" s="37" t="s">
        <v>256</v>
      </c>
    </row>
    <row r="40" spans="1:3" ht="12">
      <c r="A40" s="37" t="s">
        <v>1616</v>
      </c>
      <c r="C40" s="55">
        <f>C235</f>
        <v>800596.003815804</v>
      </c>
    </row>
    <row r="41" spans="1:3" ht="12">
      <c r="A41" s="37" t="s">
        <v>1617</v>
      </c>
      <c r="C41" s="55">
        <f>C242</f>
        <v>49190.952355574496</v>
      </c>
    </row>
    <row r="42" spans="1:3" ht="12">
      <c r="A42" s="37" t="s">
        <v>1618</v>
      </c>
      <c r="C42" s="55">
        <f>C249</f>
        <v>281344.9191670219</v>
      </c>
    </row>
    <row r="43" spans="1:3" ht="12">
      <c r="A43" s="37" t="s">
        <v>1619</v>
      </c>
      <c r="C43" s="55">
        <f>C256</f>
        <v>1202445.5020251542</v>
      </c>
    </row>
    <row r="44" spans="1:4" ht="12">
      <c r="A44" s="37" t="s">
        <v>1486</v>
      </c>
      <c r="C44" s="55">
        <f>SUM(C40:C43)</f>
        <v>2333577.377363554</v>
      </c>
      <c r="D44" s="55">
        <f>ROUND(C44/1000,0)-1</f>
        <v>2333</v>
      </c>
    </row>
    <row r="46" spans="1:4" s="61" customFormat="1" ht="12">
      <c r="A46" s="61" t="s">
        <v>1046</v>
      </c>
      <c r="B46" s="226"/>
      <c r="C46" s="226">
        <f>C44</f>
        <v>2333577.377363554</v>
      </c>
      <c r="D46" s="226">
        <f>D44</f>
        <v>2333</v>
      </c>
    </row>
    <row r="47" spans="2:4" s="61" customFormat="1" ht="12">
      <c r="B47" s="226"/>
      <c r="C47" s="226"/>
      <c r="D47" s="226"/>
    </row>
    <row r="49" spans="1:4" ht="12">
      <c r="A49" s="145" t="s">
        <v>1622</v>
      </c>
      <c r="B49" s="241"/>
      <c r="C49" s="241">
        <f>C16+C31+C46</f>
        <v>13369829.21677908</v>
      </c>
      <c r="D49" s="241">
        <f>D16+D31+D46</f>
        <v>13369</v>
      </c>
    </row>
    <row r="52" ht="12">
      <c r="A52" s="61" t="s">
        <v>1623</v>
      </c>
    </row>
    <row r="54" spans="1:4" ht="39" customHeight="1">
      <c r="A54" s="363" t="s">
        <v>1047</v>
      </c>
      <c r="B54" s="361"/>
      <c r="C54" s="361"/>
      <c r="D54" s="361"/>
    </row>
    <row r="56" ht="12">
      <c r="A56" s="37" t="s">
        <v>1624</v>
      </c>
    </row>
    <row r="58" ht="12">
      <c r="A58" s="9" t="s">
        <v>10</v>
      </c>
    </row>
    <row r="60" spans="1:4" s="9" customFormat="1" ht="12">
      <c r="A60" s="61" t="s">
        <v>257</v>
      </c>
      <c r="B60" s="55"/>
      <c r="C60" s="55"/>
      <c r="D60" s="55"/>
    </row>
    <row r="62" ht="12">
      <c r="A62" s="9" t="s">
        <v>1625</v>
      </c>
    </row>
    <row r="64" spans="1:3" ht="12">
      <c r="A64" s="37" t="s">
        <v>1626</v>
      </c>
      <c r="B64" s="14" t="s">
        <v>1300</v>
      </c>
      <c r="C64" s="14" t="s">
        <v>1301</v>
      </c>
    </row>
    <row r="65" spans="1:3" ht="12">
      <c r="A65" s="37" t="s">
        <v>1513</v>
      </c>
      <c r="B65" s="242">
        <f>kab!$I$23</f>
        <v>417000</v>
      </c>
      <c r="C65" s="242">
        <f>B65*1</f>
        <v>417000</v>
      </c>
    </row>
    <row r="66" spans="1:3" ht="12">
      <c r="A66" s="37" t="s">
        <v>1514</v>
      </c>
      <c r="B66" s="242">
        <f>kab!$H$23</f>
        <v>441100</v>
      </c>
      <c r="C66" s="242">
        <f>B66*8</f>
        <v>3528800</v>
      </c>
    </row>
    <row r="67" spans="1:3" ht="12">
      <c r="A67" s="37" t="s">
        <v>853</v>
      </c>
      <c r="B67" s="242">
        <f>kab!$K$23</f>
        <v>417000</v>
      </c>
      <c r="C67" s="55">
        <f>B67*1</f>
        <v>417000</v>
      </c>
    </row>
    <row r="68" spans="1:4" ht="12">
      <c r="A68" s="37" t="s">
        <v>1627</v>
      </c>
      <c r="C68" s="274">
        <v>5859097</v>
      </c>
      <c r="D68" s="274">
        <f>ROUND(C68/1000,0)</f>
        <v>5859</v>
      </c>
    </row>
    <row r="69" spans="3:4" ht="12">
      <c r="C69" s="274"/>
      <c r="D69" s="274"/>
    </row>
    <row r="70" spans="1:4" ht="12">
      <c r="A70" s="9" t="s">
        <v>1628</v>
      </c>
      <c r="B70" s="243"/>
      <c r="C70" s="280">
        <v>5859097</v>
      </c>
      <c r="D70" s="280">
        <f>D68</f>
        <v>5859</v>
      </c>
    </row>
    <row r="71" spans="1:4" ht="12">
      <c r="A71" s="37" t="s">
        <v>906</v>
      </c>
      <c r="C71" s="274">
        <v>175000</v>
      </c>
      <c r="D71" s="274">
        <v>175</v>
      </c>
    </row>
    <row r="72" spans="1:4" ht="12">
      <c r="A72" s="9" t="s">
        <v>1303</v>
      </c>
      <c r="C72" s="274">
        <f>C71</f>
        <v>175000</v>
      </c>
      <c r="D72" s="274">
        <f>D71</f>
        <v>175</v>
      </c>
    </row>
    <row r="74" ht="12">
      <c r="A74" s="37" t="s">
        <v>1306</v>
      </c>
    </row>
    <row r="75" spans="1:4" ht="12">
      <c r="A75" s="37" t="s">
        <v>1629</v>
      </c>
      <c r="C75" s="242">
        <f>kab!$S$23</f>
        <v>0</v>
      </c>
      <c r="D75" s="55">
        <v>0</v>
      </c>
    </row>
    <row r="77" ht="12">
      <c r="A77" s="37" t="s">
        <v>1630</v>
      </c>
    </row>
    <row r="79" ht="12">
      <c r="A79" s="37" t="s">
        <v>1311</v>
      </c>
    </row>
    <row r="80" spans="1:4" s="9" customFormat="1" ht="12">
      <c r="A80" s="37" t="s">
        <v>1631</v>
      </c>
      <c r="B80" s="55"/>
      <c r="C80" s="55"/>
      <c r="D80" s="55"/>
    </row>
    <row r="81" spans="1:4" ht="12">
      <c r="A81" s="37" t="s">
        <v>420</v>
      </c>
      <c r="B81" s="274">
        <v>5</v>
      </c>
      <c r="C81" s="274"/>
      <c r="D81" s="274"/>
    </row>
    <row r="82" spans="1:4" s="61" customFormat="1" ht="12">
      <c r="A82" s="37" t="s">
        <v>962</v>
      </c>
      <c r="B82" s="274">
        <v>6000</v>
      </c>
      <c r="C82" s="274"/>
      <c r="D82" s="274"/>
    </row>
    <row r="83" spans="1:4" ht="12">
      <c r="A83" s="37" t="s">
        <v>1631</v>
      </c>
      <c r="B83" s="274"/>
      <c r="C83" s="274">
        <f>B81*B82*12</f>
        <v>360000</v>
      </c>
      <c r="D83" s="274">
        <f>ROUND(C83/1000,0)</f>
        <v>360</v>
      </c>
    </row>
    <row r="84" spans="2:4" ht="12">
      <c r="B84" s="274"/>
      <c r="C84" s="274"/>
      <c r="D84" s="274"/>
    </row>
    <row r="85" spans="1:4" ht="12">
      <c r="A85" s="37" t="s">
        <v>963</v>
      </c>
      <c r="B85" s="274"/>
      <c r="C85" s="274"/>
      <c r="D85" s="274"/>
    </row>
    <row r="86" spans="1:4" ht="12">
      <c r="A86" s="37" t="s">
        <v>420</v>
      </c>
      <c r="B86" s="274">
        <v>5</v>
      </c>
      <c r="C86" s="274"/>
      <c r="D86" s="274"/>
    </row>
    <row r="87" spans="1:4" ht="12">
      <c r="A87" s="37" t="s">
        <v>1473</v>
      </c>
      <c r="B87" s="274">
        <v>2000</v>
      </c>
      <c r="C87" s="274"/>
      <c r="D87" s="274"/>
    </row>
    <row r="88" spans="1:4" ht="12">
      <c r="A88" s="37" t="s">
        <v>963</v>
      </c>
      <c r="B88" s="274"/>
      <c r="C88" s="274"/>
      <c r="D88" s="274"/>
    </row>
    <row r="89" spans="2:4" ht="12">
      <c r="B89" s="274"/>
      <c r="C89" s="274"/>
      <c r="D89" s="274"/>
    </row>
    <row r="90" spans="1:4" ht="12">
      <c r="A90" s="37" t="s">
        <v>1630</v>
      </c>
      <c r="B90" s="274"/>
      <c r="C90" s="274">
        <f>C83+C88</f>
        <v>360000</v>
      </c>
      <c r="D90" s="274">
        <f>D83+D88</f>
        <v>360</v>
      </c>
    </row>
    <row r="91" spans="2:4" ht="12">
      <c r="B91" s="274"/>
      <c r="C91" s="274"/>
      <c r="D91" s="274"/>
    </row>
    <row r="92" spans="1:4" ht="12">
      <c r="A92" s="9" t="s">
        <v>964</v>
      </c>
      <c r="B92" s="280"/>
      <c r="C92" s="280">
        <f>C75+C90</f>
        <v>360000</v>
      </c>
      <c r="D92" s="280">
        <f>D75+D90</f>
        <v>360</v>
      </c>
    </row>
    <row r="93" spans="2:4" ht="12">
      <c r="B93" s="304"/>
      <c r="C93" s="304"/>
      <c r="D93" s="304"/>
    </row>
    <row r="94" spans="1:4" ht="12">
      <c r="A94" s="61" t="s">
        <v>257</v>
      </c>
      <c r="B94" s="291"/>
      <c r="C94" s="291">
        <f>C70+C92+C71</f>
        <v>6394097</v>
      </c>
      <c r="D94" s="291">
        <f>D70+D92+D71</f>
        <v>6394</v>
      </c>
    </row>
    <row r="96" spans="1:4" s="61" customFormat="1" ht="12">
      <c r="A96" s="61" t="s">
        <v>754</v>
      </c>
      <c r="B96" s="55"/>
      <c r="C96" s="55"/>
      <c r="D96" s="55"/>
    </row>
    <row r="97" spans="1:4" s="61" customFormat="1" ht="12">
      <c r="A97" s="37" t="s">
        <v>755</v>
      </c>
      <c r="B97" s="63" t="s">
        <v>1316</v>
      </c>
      <c r="C97" s="63" t="s">
        <v>599</v>
      </c>
      <c r="D97" s="55"/>
    </row>
    <row r="98" spans="1:4" s="61" customFormat="1" ht="12">
      <c r="A98" s="37" t="s">
        <v>600</v>
      </c>
      <c r="B98" s="55"/>
      <c r="C98" s="274">
        <v>1450000</v>
      </c>
      <c r="D98" s="274">
        <f>ROUND(C98/1000,0)</f>
        <v>1450</v>
      </c>
    </row>
    <row r="99" spans="2:3" ht="12">
      <c r="B99" s="63" t="s">
        <v>1316</v>
      </c>
      <c r="C99" s="63" t="s">
        <v>601</v>
      </c>
    </row>
    <row r="100" spans="1:4" ht="12">
      <c r="A100" s="37" t="s">
        <v>602</v>
      </c>
      <c r="C100" s="274">
        <v>270000</v>
      </c>
      <c r="D100" s="274">
        <f>ROUND(C100/1000,0)</f>
        <v>270</v>
      </c>
    </row>
    <row r="101" spans="2:3" ht="12">
      <c r="B101" s="63" t="s">
        <v>1316</v>
      </c>
      <c r="C101" s="63" t="s">
        <v>604</v>
      </c>
    </row>
    <row r="102" spans="1:4" ht="12">
      <c r="A102" s="37" t="s">
        <v>603</v>
      </c>
      <c r="C102" s="55">
        <v>40000</v>
      </c>
      <c r="D102" s="274">
        <f>ROUND(C102/1000,0)</f>
        <v>40</v>
      </c>
    </row>
    <row r="103" spans="1:4" ht="12">
      <c r="A103" s="37" t="s">
        <v>605</v>
      </c>
      <c r="C103" s="55">
        <f>C98+C100+C102</f>
        <v>1760000</v>
      </c>
      <c r="D103" s="274">
        <f>ROUND(C103/1000,0)</f>
        <v>1760</v>
      </c>
    </row>
    <row r="105" spans="2:3" ht="12">
      <c r="B105" s="63" t="s">
        <v>1316</v>
      </c>
      <c r="C105" s="63" t="s">
        <v>1317</v>
      </c>
    </row>
    <row r="106" spans="1:4" ht="12">
      <c r="A106" s="37" t="s">
        <v>1318</v>
      </c>
      <c r="C106" s="274">
        <v>182000</v>
      </c>
      <c r="D106" s="274">
        <f>ROUND(C106/1000,0)</f>
        <v>182</v>
      </c>
    </row>
    <row r="108" ht="12">
      <c r="A108" s="37" t="s">
        <v>301</v>
      </c>
    </row>
    <row r="109" spans="1:2" ht="12">
      <c r="A109" s="37" t="s">
        <v>302</v>
      </c>
      <c r="B109" s="55">
        <v>5</v>
      </c>
    </row>
    <row r="110" spans="1:4" ht="12">
      <c r="A110" s="37" t="s">
        <v>706</v>
      </c>
      <c r="B110" s="274">
        <v>1950</v>
      </c>
      <c r="C110" s="274">
        <f>B109*B110*12</f>
        <v>117000</v>
      </c>
      <c r="D110" s="274"/>
    </row>
    <row r="111" spans="1:4" ht="12">
      <c r="A111" s="37" t="s">
        <v>301</v>
      </c>
      <c r="B111" s="274"/>
      <c r="C111" s="274">
        <f>C110</f>
        <v>117000</v>
      </c>
      <c r="D111" s="274">
        <f>ROUND(C111/1000,0)</f>
        <v>117</v>
      </c>
    </row>
    <row r="113" spans="1:4" ht="12">
      <c r="A113" s="61" t="s">
        <v>754</v>
      </c>
      <c r="B113" s="226"/>
      <c r="C113" s="226">
        <f>C103+C106+C111</f>
        <v>2059000</v>
      </c>
      <c r="D113" s="226">
        <f>D103+D106+D111</f>
        <v>2059</v>
      </c>
    </row>
    <row r="115" ht="12">
      <c r="A115" s="61" t="s">
        <v>756</v>
      </c>
    </row>
    <row r="117" ht="12">
      <c r="A117" s="9" t="s">
        <v>965</v>
      </c>
    </row>
    <row r="119" ht="12">
      <c r="A119" s="37" t="s">
        <v>966</v>
      </c>
    </row>
    <row r="121" spans="1:4" ht="12">
      <c r="A121" s="363" t="s">
        <v>775</v>
      </c>
      <c r="B121" s="361"/>
      <c r="C121" s="361"/>
      <c r="D121" s="361"/>
    </row>
    <row r="123" spans="1:2" ht="12">
      <c r="A123" s="37" t="s">
        <v>13</v>
      </c>
      <c r="B123" s="55">
        <f>étk!$C$29</f>
        <v>23</v>
      </c>
    </row>
    <row r="124" spans="1:2" ht="12">
      <c r="A124" s="37" t="s">
        <v>967</v>
      </c>
      <c r="B124" s="55">
        <f>étk!$B$10+étk!$B$11</f>
        <v>41</v>
      </c>
    </row>
    <row r="125" spans="1:2" ht="12">
      <c r="A125" s="37" t="s">
        <v>968</v>
      </c>
      <c r="B125" s="55">
        <f>étk!$B$23-(étk!$B$10+étk!$B$11)</f>
        <v>154</v>
      </c>
    </row>
    <row r="126" spans="1:2" ht="12">
      <c r="A126" s="37" t="s">
        <v>1650</v>
      </c>
      <c r="B126" s="234">
        <f>étk!$L$23</f>
        <v>0.7786080273270709</v>
      </c>
    </row>
    <row r="127" ht="12">
      <c r="A127" s="37" t="s">
        <v>1651</v>
      </c>
    </row>
    <row r="128" spans="1:3" ht="12">
      <c r="A128" s="37" t="s">
        <v>1653</v>
      </c>
      <c r="B128" s="55">
        <v>171</v>
      </c>
      <c r="C128" s="55">
        <f>B123*B124*B126*B128</f>
        <v>125552.88023057216</v>
      </c>
    </row>
    <row r="129" spans="1:3" ht="12">
      <c r="A129" s="37" t="s">
        <v>1654</v>
      </c>
      <c r="B129" s="55">
        <v>171</v>
      </c>
      <c r="C129" s="55">
        <f>B123*B125*B126*B129</f>
        <v>471588.86720751494</v>
      </c>
    </row>
    <row r="130" spans="1:3" ht="12">
      <c r="A130" s="37" t="s">
        <v>1655</v>
      </c>
      <c r="C130" s="55">
        <f>SUM(C128:C129)</f>
        <v>597141.7474380871</v>
      </c>
    </row>
    <row r="132" spans="1:2" ht="12">
      <c r="A132" s="37" t="s">
        <v>14</v>
      </c>
      <c r="B132" s="55">
        <f>étk!$O$29</f>
        <v>16</v>
      </c>
    </row>
    <row r="133" spans="1:2" ht="12">
      <c r="A133" s="37" t="s">
        <v>967</v>
      </c>
      <c r="B133" s="55">
        <f>étk!$N$10+étk!$N$11</f>
        <v>41</v>
      </c>
    </row>
    <row r="134" spans="1:2" ht="12">
      <c r="A134" s="37" t="s">
        <v>968</v>
      </c>
      <c r="B134" s="55">
        <f>étk!$N$23-(étk!$N$10+étk!$N$11)</f>
        <v>140</v>
      </c>
    </row>
    <row r="135" spans="1:2" ht="12">
      <c r="A135" s="37" t="s">
        <v>1650</v>
      </c>
      <c r="B135" s="234">
        <f>étk!$U$23</f>
        <v>0.824616122840691</v>
      </c>
    </row>
    <row r="136" ht="12">
      <c r="A136" s="37" t="s">
        <v>1651</v>
      </c>
    </row>
    <row r="137" spans="1:3" ht="12">
      <c r="A137" s="37" t="s">
        <v>1653</v>
      </c>
      <c r="B137" s="55">
        <v>140</v>
      </c>
      <c r="C137" s="55">
        <f>B132*B133*B135*B137</f>
        <v>75732.74472168906</v>
      </c>
    </row>
    <row r="138" spans="1:3" ht="12">
      <c r="A138" s="37" t="s">
        <v>1654</v>
      </c>
      <c r="B138" s="55">
        <v>140</v>
      </c>
      <c r="C138" s="55">
        <f>B132*B134*B135*B138</f>
        <v>258599.6161228407</v>
      </c>
    </row>
    <row r="139" spans="1:3" ht="12">
      <c r="A139" s="37" t="s">
        <v>1656</v>
      </c>
      <c r="C139" s="55">
        <f>SUM(C137:C138)</f>
        <v>334332.36084452976</v>
      </c>
    </row>
    <row r="141" spans="1:2" ht="12">
      <c r="A141" s="37" t="s">
        <v>777</v>
      </c>
      <c r="B141" s="55">
        <f>étk!$X$29</f>
        <v>40</v>
      </c>
    </row>
    <row r="142" spans="1:2" ht="12">
      <c r="A142" s="37" t="s">
        <v>967</v>
      </c>
      <c r="B142" s="55">
        <f>étk!$N$10+étk!$N$11</f>
        <v>41</v>
      </c>
    </row>
    <row r="143" spans="1:2" ht="12">
      <c r="A143" s="37" t="s">
        <v>968</v>
      </c>
      <c r="B143" s="55">
        <f>étk!$N$23-(étk!$N$10+étk!$N$11)</f>
        <v>140</v>
      </c>
    </row>
    <row r="144" spans="1:2" ht="12">
      <c r="A144" s="37" t="s">
        <v>1650</v>
      </c>
      <c r="B144" s="234">
        <f>étk!$AE$23</f>
        <v>0.8601950766372504</v>
      </c>
    </row>
    <row r="145" ht="12">
      <c r="A145" s="37" t="s">
        <v>1651</v>
      </c>
    </row>
    <row r="146" spans="1:3" ht="12">
      <c r="A146" s="37" t="s">
        <v>1653</v>
      </c>
      <c r="B146" s="55">
        <v>240</v>
      </c>
      <c r="C146" s="55">
        <f>B141*B142*B144*B146</f>
        <v>338572.78216442175</v>
      </c>
    </row>
    <row r="147" spans="1:3" ht="12">
      <c r="A147" s="37" t="s">
        <v>1654</v>
      </c>
      <c r="B147" s="55">
        <v>240</v>
      </c>
      <c r="C147" s="55">
        <f>B141*B143*B144*B147</f>
        <v>1156102.1830004645</v>
      </c>
    </row>
    <row r="148" spans="1:3" ht="12">
      <c r="A148" s="37" t="s">
        <v>1657</v>
      </c>
      <c r="C148" s="55">
        <f>SUM(C146:C147)</f>
        <v>1494674.9651648863</v>
      </c>
    </row>
    <row r="150" ht="12">
      <c r="A150" s="37" t="s">
        <v>15</v>
      </c>
    </row>
    <row r="151" spans="1:2" ht="12">
      <c r="A151" s="37" t="s">
        <v>16</v>
      </c>
      <c r="B151" s="55">
        <f>étk!$AH$29</f>
        <v>0</v>
      </c>
    </row>
    <row r="152" spans="1:2" ht="12">
      <c r="A152" s="37" t="s">
        <v>967</v>
      </c>
      <c r="B152" s="55">
        <f>étk!$AG$10+étk!$AG$11</f>
        <v>41</v>
      </c>
    </row>
    <row r="153" spans="1:2" ht="12">
      <c r="A153" s="37" t="s">
        <v>968</v>
      </c>
      <c r="B153" s="55">
        <f>étk!$AG$23-(étk!$AG$10+étk!$AG$11)</f>
        <v>190</v>
      </c>
    </row>
    <row r="154" spans="1:2" ht="12">
      <c r="A154" s="37" t="s">
        <v>18</v>
      </c>
      <c r="B154" s="234">
        <v>0.8</v>
      </c>
    </row>
    <row r="155" ht="12">
      <c r="A155" s="37" t="s">
        <v>1658</v>
      </c>
    </row>
    <row r="156" spans="1:3" ht="12">
      <c r="A156" s="37" t="s">
        <v>1659</v>
      </c>
      <c r="C156" s="55">
        <f>B151*B152*B154*B156</f>
        <v>0</v>
      </c>
    </row>
    <row r="157" spans="1:3" ht="12">
      <c r="A157" s="37" t="s">
        <v>1660</v>
      </c>
      <c r="C157" s="55">
        <f>B151*B153*B154*B157</f>
        <v>0</v>
      </c>
    </row>
    <row r="158" spans="1:3" ht="12">
      <c r="A158" s="37" t="s">
        <v>1657</v>
      </c>
      <c r="C158" s="55">
        <f>SUM(C156:C157)</f>
        <v>0</v>
      </c>
    </row>
    <row r="160" spans="1:4" s="9" customFormat="1" ht="12">
      <c r="A160" s="37" t="s">
        <v>938</v>
      </c>
      <c r="B160" s="55"/>
      <c r="C160" s="55"/>
      <c r="D160" s="55"/>
    </row>
    <row r="161" ht="12">
      <c r="A161" s="37" t="s">
        <v>19</v>
      </c>
    </row>
    <row r="162" spans="1:2" ht="12">
      <c r="A162" s="37" t="s">
        <v>16</v>
      </c>
      <c r="B162" s="55">
        <f>étk!AK29</f>
        <v>22</v>
      </c>
    </row>
    <row r="163" spans="1:2" ht="12">
      <c r="A163" s="37" t="s">
        <v>967</v>
      </c>
      <c r="B163" s="55">
        <f>étk!$AG$10+étk!$AG$11</f>
        <v>41</v>
      </c>
    </row>
    <row r="164" spans="1:2" ht="12">
      <c r="A164" s="37" t="s">
        <v>968</v>
      </c>
      <c r="B164" s="55">
        <f>étk!$AG$23-(étk!$AG$10+étk!$AG$11)</f>
        <v>190</v>
      </c>
    </row>
    <row r="165" spans="1:2" ht="12">
      <c r="A165" s="37" t="s">
        <v>18</v>
      </c>
      <c r="B165" s="234">
        <f>étk!AK25</f>
        <v>0.4853109500190767</v>
      </c>
    </row>
    <row r="166" spans="1:4" s="9" customFormat="1" ht="12">
      <c r="A166" s="37" t="s">
        <v>1658</v>
      </c>
      <c r="B166" s="55"/>
      <c r="C166" s="55"/>
      <c r="D166" s="55"/>
    </row>
    <row r="167" spans="1:3" ht="12">
      <c r="A167" s="37" t="s">
        <v>1659</v>
      </c>
      <c r="B167" s="55">
        <v>208</v>
      </c>
      <c r="C167" s="55">
        <f>B162*B163*B165*B167</f>
        <v>91052.0991987791</v>
      </c>
    </row>
    <row r="168" spans="1:3" ht="12">
      <c r="A168" s="37" t="s">
        <v>1660</v>
      </c>
      <c r="B168" s="55">
        <v>208</v>
      </c>
      <c r="C168" s="55">
        <f>B162*B164*B165*B168</f>
        <v>421948.752384586</v>
      </c>
    </row>
    <row r="169" spans="1:3" ht="12">
      <c r="A169" s="37" t="s">
        <v>1657</v>
      </c>
      <c r="C169" s="55">
        <f>SUM(C167:C168)</f>
        <v>513000.8515833651</v>
      </c>
    </row>
    <row r="171" ht="12">
      <c r="A171" s="37" t="s">
        <v>20</v>
      </c>
    </row>
    <row r="172" spans="1:2" ht="12">
      <c r="A172" s="37" t="s">
        <v>16</v>
      </c>
      <c r="B172" s="55">
        <f>étk!$AL$29</f>
        <v>22</v>
      </c>
    </row>
    <row r="173" spans="1:2" ht="12">
      <c r="A173" s="37" t="s">
        <v>967</v>
      </c>
      <c r="B173" s="55">
        <f>étk!$AG$10+étk!$AG$11</f>
        <v>41</v>
      </c>
    </row>
    <row r="174" spans="1:2" ht="12">
      <c r="A174" s="37" t="s">
        <v>968</v>
      </c>
      <c r="B174" s="55">
        <f>étk!$AG$23-(étk!$AG$10+étk!$AG$11)</f>
        <v>190</v>
      </c>
    </row>
    <row r="175" spans="1:2" ht="12">
      <c r="A175" s="37" t="s">
        <v>18</v>
      </c>
      <c r="B175" s="234">
        <f>étk!$AN$23</f>
        <v>0.7712034656563719</v>
      </c>
    </row>
    <row r="176" ht="12">
      <c r="A176" s="37" t="s">
        <v>1658</v>
      </c>
    </row>
    <row r="177" spans="1:3" ht="12">
      <c r="A177" s="37" t="s">
        <v>1659</v>
      </c>
      <c r="B177" s="55">
        <v>208</v>
      </c>
      <c r="C177" s="55">
        <f>B172*B173*B175*B177</f>
        <v>144690.10941258588</v>
      </c>
    </row>
    <row r="178" spans="1:3" ht="12">
      <c r="A178" s="37" t="s">
        <v>1660</v>
      </c>
      <c r="B178" s="55">
        <v>208</v>
      </c>
      <c r="C178" s="55">
        <f>B172*B174*B175*B178</f>
        <v>670515.1411802759</v>
      </c>
    </row>
    <row r="179" spans="1:3" ht="12">
      <c r="A179" s="37" t="s">
        <v>1657</v>
      </c>
      <c r="C179" s="55">
        <f>SUM(C177:C178)</f>
        <v>815205.2505928618</v>
      </c>
    </row>
    <row r="180" spans="1:4" s="9" customFormat="1" ht="12">
      <c r="A180" s="37"/>
      <c r="B180" s="63" t="s">
        <v>844</v>
      </c>
      <c r="C180" s="55"/>
      <c r="D180" s="55"/>
    </row>
    <row r="181" spans="1:4" ht="12">
      <c r="A181" s="37" t="s">
        <v>1661</v>
      </c>
      <c r="B181" s="142"/>
      <c r="C181" s="274">
        <v>5300000</v>
      </c>
      <c r="D181" s="274">
        <f>ROUND(C181/1000,0)</f>
        <v>5300</v>
      </c>
    </row>
    <row r="182" spans="1:4" s="61" customFormat="1" ht="12">
      <c r="A182" s="37" t="s">
        <v>1280</v>
      </c>
      <c r="B182" s="13">
        <v>35446</v>
      </c>
      <c r="C182" s="274">
        <v>50000</v>
      </c>
      <c r="D182" s="274">
        <f aca="true" t="shared" si="0" ref="D182:D188">ROUND(C182/1000,0)</f>
        <v>50</v>
      </c>
    </row>
    <row r="183" spans="1:4" ht="12">
      <c r="A183" s="37" t="s">
        <v>818</v>
      </c>
      <c r="B183" s="13"/>
      <c r="D183" s="55">
        <f t="shared" si="0"/>
        <v>0</v>
      </c>
    </row>
    <row r="184" spans="1:4" s="61" customFormat="1" ht="12">
      <c r="A184" s="37" t="s">
        <v>819</v>
      </c>
      <c r="B184" s="13"/>
      <c r="C184" s="55"/>
      <c r="D184" s="55">
        <f t="shared" si="0"/>
        <v>0</v>
      </c>
    </row>
    <row r="185" spans="1:4" ht="12">
      <c r="A185" s="37" t="s">
        <v>821</v>
      </c>
      <c r="B185" s="13">
        <v>16611</v>
      </c>
      <c r="D185" s="55">
        <f t="shared" si="0"/>
        <v>0</v>
      </c>
    </row>
    <row r="186" spans="1:4" ht="12">
      <c r="A186" s="37" t="s">
        <v>820</v>
      </c>
      <c r="B186" s="13"/>
      <c r="D186" s="55">
        <f t="shared" si="0"/>
        <v>0</v>
      </c>
    </row>
    <row r="187" spans="1:4" ht="12">
      <c r="A187" s="37" t="s">
        <v>822</v>
      </c>
      <c r="B187" s="13"/>
      <c r="D187" s="55">
        <f t="shared" si="0"/>
        <v>0</v>
      </c>
    </row>
    <row r="188" spans="1:4" ht="12">
      <c r="A188" s="37" t="s">
        <v>1284</v>
      </c>
      <c r="B188" s="13">
        <v>424005</v>
      </c>
      <c r="C188" s="274">
        <v>1000000</v>
      </c>
      <c r="D188" s="274">
        <f t="shared" si="0"/>
        <v>1000</v>
      </c>
    </row>
    <row r="189" spans="1:4" ht="12">
      <c r="A189" s="9" t="s">
        <v>1662</v>
      </c>
      <c r="B189" s="13">
        <f>SUM(B181:B188)</f>
        <v>476062</v>
      </c>
      <c r="C189" s="243">
        <f>SUM(C181:C188)</f>
        <v>6350000</v>
      </c>
      <c r="D189" s="243">
        <f>SUM(D181:D188)</f>
        <v>6350</v>
      </c>
    </row>
    <row r="191" spans="1:2" ht="12">
      <c r="A191" s="9" t="s">
        <v>310</v>
      </c>
      <c r="B191" s="63" t="s">
        <v>844</v>
      </c>
    </row>
    <row r="192" spans="1:4" ht="12">
      <c r="A192" s="37" t="s">
        <v>1474</v>
      </c>
      <c r="B192" s="63"/>
      <c r="C192" s="55">
        <v>0</v>
      </c>
      <c r="D192" s="55">
        <f aca="true" t="shared" si="1" ref="D192:D198">ROUND(C192/1000,0)</f>
        <v>0</v>
      </c>
    </row>
    <row r="193" spans="1:4" ht="12">
      <c r="A193" s="37" t="s">
        <v>1295</v>
      </c>
      <c r="B193" s="63">
        <v>440918</v>
      </c>
      <c r="C193" s="274">
        <v>620000</v>
      </c>
      <c r="D193" s="274">
        <f t="shared" si="1"/>
        <v>620</v>
      </c>
    </row>
    <row r="194" spans="1:4" ht="12">
      <c r="A194" s="37" t="s">
        <v>1296</v>
      </c>
      <c r="B194" s="63">
        <v>20519</v>
      </c>
      <c r="C194" s="274">
        <v>200000</v>
      </c>
      <c r="D194" s="274">
        <f t="shared" si="1"/>
        <v>200</v>
      </c>
    </row>
    <row r="195" spans="1:4" ht="12">
      <c r="A195" s="37" t="s">
        <v>1297</v>
      </c>
      <c r="B195" s="63">
        <v>10564</v>
      </c>
      <c r="C195" s="274">
        <v>15000</v>
      </c>
      <c r="D195" s="274">
        <f t="shared" si="1"/>
        <v>15</v>
      </c>
    </row>
    <row r="196" spans="1:4" ht="12">
      <c r="A196" s="37" t="s">
        <v>1663</v>
      </c>
      <c r="B196" s="13">
        <v>73834</v>
      </c>
      <c r="C196" s="274">
        <v>80000</v>
      </c>
      <c r="D196" s="274">
        <f t="shared" si="1"/>
        <v>80</v>
      </c>
    </row>
    <row r="197" spans="1:4" ht="12">
      <c r="A197" s="37" t="s">
        <v>1298</v>
      </c>
      <c r="B197" s="13">
        <v>35446</v>
      </c>
      <c r="C197" s="274">
        <v>30000</v>
      </c>
      <c r="D197" s="274">
        <f t="shared" si="1"/>
        <v>30</v>
      </c>
    </row>
    <row r="198" spans="1:4" ht="12">
      <c r="A198" s="37" t="s">
        <v>1664</v>
      </c>
      <c r="B198" s="13">
        <v>135000</v>
      </c>
      <c r="C198" s="274">
        <v>100000</v>
      </c>
      <c r="D198" s="274">
        <f t="shared" si="1"/>
        <v>100</v>
      </c>
    </row>
    <row r="199" spans="1:4" ht="12">
      <c r="A199" s="9" t="s">
        <v>310</v>
      </c>
      <c r="B199" s="243"/>
      <c r="C199" s="243">
        <f>SUM(C192:C198)</f>
        <v>1045000</v>
      </c>
      <c r="D199" s="243">
        <f>SUM(D192:D198)</f>
        <v>1045</v>
      </c>
    </row>
    <row r="201" ht="12">
      <c r="A201" s="9" t="s">
        <v>314</v>
      </c>
    </row>
    <row r="202" spans="1:3" ht="12">
      <c r="A202" s="37" t="s">
        <v>1665</v>
      </c>
      <c r="B202" s="14" t="s">
        <v>1666</v>
      </c>
      <c r="C202" s="14" t="s">
        <v>317</v>
      </c>
    </row>
    <row r="203" spans="1:3" ht="12">
      <c r="A203" s="37" t="s">
        <v>782</v>
      </c>
      <c r="C203" s="55">
        <f>B203*15%</f>
        <v>0</v>
      </c>
    </row>
    <row r="204" spans="1:3" ht="12">
      <c r="A204" s="37" t="s">
        <v>781</v>
      </c>
      <c r="C204" s="55">
        <f>B204*20%</f>
        <v>0</v>
      </c>
    </row>
    <row r="205" spans="1:4" ht="12">
      <c r="A205" s="37" t="s">
        <v>582</v>
      </c>
      <c r="C205" s="274">
        <v>1400000</v>
      </c>
      <c r="D205" s="274">
        <f>ROUND(C205/1000,0)</f>
        <v>1400</v>
      </c>
    </row>
    <row r="207" ht="12">
      <c r="A207" s="37" t="s">
        <v>585</v>
      </c>
    </row>
    <row r="208" spans="1:4" ht="12">
      <c r="A208" s="37" t="s">
        <v>1667</v>
      </c>
      <c r="C208" s="274">
        <v>5000</v>
      </c>
      <c r="D208" s="274">
        <f>ROUND(C208/1000,0)</f>
        <v>5</v>
      </c>
    </row>
    <row r="209" spans="1:4" ht="12">
      <c r="A209" s="9" t="s">
        <v>314</v>
      </c>
      <c r="B209" s="243"/>
      <c r="C209" s="280">
        <f>C205+C208</f>
        <v>1405000</v>
      </c>
      <c r="D209" s="280">
        <f>D205+D208</f>
        <v>1405</v>
      </c>
    </row>
    <row r="211" spans="1:4" ht="12">
      <c r="A211" s="61" t="s">
        <v>1445</v>
      </c>
      <c r="B211" s="226"/>
      <c r="C211" s="226">
        <f>C189+C199+C209</f>
        <v>8800000</v>
      </c>
      <c r="D211" s="226">
        <f>D189+D199+D209</f>
        <v>8800</v>
      </c>
    </row>
    <row r="213" spans="1:4" ht="12">
      <c r="A213" s="61" t="s">
        <v>1668</v>
      </c>
      <c r="B213" s="226"/>
      <c r="C213" s="226">
        <f>C94+C113+C211</f>
        <v>17253097</v>
      </c>
      <c r="D213" s="226">
        <f>D94+D113+D211</f>
        <v>17253</v>
      </c>
    </row>
    <row r="216" ht="12">
      <c r="A216" s="37" t="s">
        <v>1669</v>
      </c>
    </row>
    <row r="218" spans="1:3" ht="12">
      <c r="A218" s="37" t="s">
        <v>854</v>
      </c>
      <c r="C218" s="55">
        <f>C70</f>
        <v>5859097</v>
      </c>
    </row>
    <row r="219" spans="1:3" ht="12">
      <c r="A219" s="37" t="s">
        <v>855</v>
      </c>
      <c r="C219" s="55">
        <f>C92</f>
        <v>360000</v>
      </c>
    </row>
    <row r="220" spans="1:3" ht="12">
      <c r="A220" s="37" t="s">
        <v>856</v>
      </c>
      <c r="C220" s="55">
        <f>C113</f>
        <v>2059000</v>
      </c>
    </row>
    <row r="221" spans="1:3" ht="12">
      <c r="A221" s="37" t="s">
        <v>857</v>
      </c>
      <c r="C221" s="55">
        <f>C211</f>
        <v>8800000</v>
      </c>
    </row>
    <row r="222" spans="1:3" ht="12">
      <c r="A222" s="37" t="s">
        <v>858</v>
      </c>
      <c r="C222" s="55">
        <f>SUM(C218:C221)</f>
        <v>17078097</v>
      </c>
    </row>
    <row r="224" ht="12">
      <c r="A224" s="37" t="s">
        <v>859</v>
      </c>
    </row>
    <row r="226" spans="1:4" ht="12">
      <c r="A226" s="37" t="s">
        <v>860</v>
      </c>
      <c r="C226" s="55">
        <f>C130</f>
        <v>597141.7474380871</v>
      </c>
      <c r="D226" s="234">
        <f>C226/C230</f>
        <v>0.15905307822637768</v>
      </c>
    </row>
    <row r="227" spans="1:4" ht="12">
      <c r="A227" s="37" t="s">
        <v>861</v>
      </c>
      <c r="C227" s="55">
        <f>C139+C148</f>
        <v>1829007.326009416</v>
      </c>
      <c r="D227" s="234">
        <f>C227/C230</f>
        <v>0.48716949794329295</v>
      </c>
    </row>
    <row r="228" spans="1:4" ht="12">
      <c r="A228" s="37" t="s">
        <v>862</v>
      </c>
      <c r="C228" s="55">
        <f>C158+C169</f>
        <v>513000.8515833651</v>
      </c>
      <c r="D228" s="234">
        <f>C228/C230</f>
        <v>0.13664153432104026</v>
      </c>
    </row>
    <row r="229" spans="1:4" ht="12">
      <c r="A229" s="37" t="s">
        <v>787</v>
      </c>
      <c r="C229" s="55">
        <f>C179</f>
        <v>815205.2505928618</v>
      </c>
      <c r="D229" s="234">
        <f>C229/C230</f>
        <v>0.21713588950928905</v>
      </c>
    </row>
    <row r="230" spans="1:4" ht="12">
      <c r="A230" s="37" t="s">
        <v>1486</v>
      </c>
      <c r="C230" s="55">
        <f>SUM(C226:C229)</f>
        <v>3754355.1756237303</v>
      </c>
      <c r="D230" s="234">
        <f>SUM(D226:D229)</f>
        <v>0.9999999999999999</v>
      </c>
    </row>
    <row r="232" ht="12">
      <c r="A232" s="37" t="s">
        <v>863</v>
      </c>
    </row>
    <row r="233" spans="1:3" ht="12">
      <c r="A233" s="37" t="s">
        <v>864</v>
      </c>
      <c r="C233" s="55">
        <f>C218*D226</f>
        <v>931907.4134769348</v>
      </c>
    </row>
    <row r="234" spans="1:3" ht="12">
      <c r="A234" s="37" t="s">
        <v>1019</v>
      </c>
      <c r="C234" s="55">
        <f>C218*D227</f>
        <v>2854373.343891054</v>
      </c>
    </row>
    <row r="235" spans="1:3" ht="12">
      <c r="A235" s="37" t="s">
        <v>1020</v>
      </c>
      <c r="C235" s="55">
        <f>C218*D228</f>
        <v>800596.003815804</v>
      </c>
    </row>
    <row r="236" spans="1:3" ht="12">
      <c r="A236" s="37" t="s">
        <v>788</v>
      </c>
      <c r="C236" s="55">
        <f>C218*D$229</f>
        <v>1272220.238816207</v>
      </c>
    </row>
    <row r="237" spans="1:3" ht="12">
      <c r="A237" s="37" t="s">
        <v>1486</v>
      </c>
      <c r="B237" s="55">
        <f>C218</f>
        <v>5859097</v>
      </c>
      <c r="C237" s="55">
        <f>SUM(C233:C236)</f>
        <v>5859097</v>
      </c>
    </row>
    <row r="239" ht="12">
      <c r="A239" s="37" t="s">
        <v>1021</v>
      </c>
    </row>
    <row r="240" spans="1:3" ht="12">
      <c r="A240" s="37" t="s">
        <v>864</v>
      </c>
      <c r="C240" s="55">
        <f>C219*D226</f>
        <v>57259.10816149596</v>
      </c>
    </row>
    <row r="241" spans="1:3" ht="12">
      <c r="A241" s="37" t="s">
        <v>1019</v>
      </c>
      <c r="C241" s="55">
        <f>C219*D227</f>
        <v>175381.01925958548</v>
      </c>
    </row>
    <row r="242" spans="1:3" ht="12">
      <c r="A242" s="37" t="s">
        <v>1020</v>
      </c>
      <c r="C242" s="55">
        <f>C219*D228</f>
        <v>49190.952355574496</v>
      </c>
    </row>
    <row r="243" spans="1:3" ht="12">
      <c r="A243" s="37" t="s">
        <v>788</v>
      </c>
      <c r="C243" s="55">
        <f>C219*D229</f>
        <v>78168.92022334406</v>
      </c>
    </row>
    <row r="244" spans="1:3" ht="12">
      <c r="A244" s="37" t="s">
        <v>1486</v>
      </c>
      <c r="B244" s="55">
        <f>C219</f>
        <v>360000</v>
      </c>
      <c r="C244" s="55">
        <f>SUM(C240:C243)</f>
        <v>360000</v>
      </c>
    </row>
    <row r="246" ht="12">
      <c r="A246" s="37" t="s">
        <v>1022</v>
      </c>
    </row>
    <row r="247" spans="1:3" ht="12">
      <c r="A247" s="37" t="s">
        <v>864</v>
      </c>
      <c r="C247" s="55">
        <f>C220*D226</f>
        <v>327490.28806811164</v>
      </c>
    </row>
    <row r="248" spans="1:3" ht="12">
      <c r="A248" s="37" t="s">
        <v>1019</v>
      </c>
      <c r="C248" s="55">
        <f>C220*D227</f>
        <v>1003081.9962652401</v>
      </c>
    </row>
    <row r="249" spans="1:3" ht="12">
      <c r="A249" s="37" t="s">
        <v>1020</v>
      </c>
      <c r="C249" s="55">
        <f>C220*D228</f>
        <v>281344.9191670219</v>
      </c>
    </row>
    <row r="250" spans="1:3" ht="12">
      <c r="A250" s="37" t="s">
        <v>788</v>
      </c>
      <c r="C250" s="55">
        <f>C220*D229</f>
        <v>447082.7964996262</v>
      </c>
    </row>
    <row r="251" spans="1:3" ht="12">
      <c r="A251" s="37" t="s">
        <v>1486</v>
      </c>
      <c r="B251" s="55">
        <f>C220</f>
        <v>2059000</v>
      </c>
      <c r="C251" s="55">
        <f>SUM(C247:C250)</f>
        <v>2059000</v>
      </c>
    </row>
    <row r="253" ht="12">
      <c r="A253" s="37" t="s">
        <v>1023</v>
      </c>
    </row>
    <row r="254" spans="1:3" ht="12">
      <c r="A254" s="37" t="s">
        <v>864</v>
      </c>
      <c r="C254" s="55">
        <f>C221*D226</f>
        <v>1399667.0883921236</v>
      </c>
    </row>
    <row r="255" spans="1:3" ht="12">
      <c r="A255" s="37" t="s">
        <v>1019</v>
      </c>
      <c r="C255" s="55">
        <f>C221*D227</f>
        <v>4287091.5819009775</v>
      </c>
    </row>
    <row r="256" spans="1:3" ht="12">
      <c r="A256" s="37" t="s">
        <v>1020</v>
      </c>
      <c r="C256" s="55">
        <f>C221*D228</f>
        <v>1202445.5020251542</v>
      </c>
    </row>
    <row r="257" spans="1:3" ht="12">
      <c r="A257" s="37" t="s">
        <v>788</v>
      </c>
      <c r="C257" s="55">
        <f>C221*D229</f>
        <v>1910795.8276817438</v>
      </c>
    </row>
    <row r="258" spans="1:3" ht="12">
      <c r="A258" s="37" t="s">
        <v>1486</v>
      </c>
      <c r="B258" s="55">
        <f>C221</f>
        <v>8800000</v>
      </c>
      <c r="C258" s="55">
        <f>SUM(C254:C257)</f>
        <v>8800000</v>
      </c>
    </row>
    <row r="261" spans="1:3" ht="12">
      <c r="A261" s="37" t="s">
        <v>1024</v>
      </c>
      <c r="B261" s="55">
        <f>B237+B244+B251+B258</f>
        <v>17078097</v>
      </c>
      <c r="C261" s="55">
        <f>C237+C244+C251+C258</f>
        <v>17078097</v>
      </c>
    </row>
  </sheetData>
  <sheetProtection/>
  <mergeCells count="6">
    <mergeCell ref="A54:D54"/>
    <mergeCell ref="A121:D121"/>
    <mergeCell ref="A1:D1"/>
    <mergeCell ref="A5:D5"/>
    <mergeCell ref="A20:D20"/>
    <mergeCell ref="A35:D35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KÖLTSÉGVETÉSE&amp;R&amp;"Arial,Dőlt"&amp;8Étkeztetési feladatok</oddHeader>
    <oddFooter>&amp;C&amp;"Arial,Dőlt"&amp;8&amp;P. oldal</oddFooter>
  </headerFooter>
  <rowBreaks count="3" manualBreakCount="3">
    <brk id="90" max="255" man="1"/>
    <brk id="130" max="255" man="1"/>
    <brk id="1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31"/>
  <sheetViews>
    <sheetView zoomScalePageLayoutView="0" workbookViewId="0" topLeftCell="A1">
      <pane xSplit="1" ySplit="8" topLeftCell="AH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N28" sqref="AN28"/>
    </sheetView>
  </sheetViews>
  <sheetFormatPr defaultColWidth="9.00390625" defaultRowHeight="12.75"/>
  <cols>
    <col min="1" max="1" width="22.625" style="37" bestFit="1" customWidth="1"/>
    <col min="2" max="2" width="7.375" style="55" customWidth="1"/>
    <col min="3" max="3" width="7.875" style="55" customWidth="1"/>
    <col min="4" max="4" width="9.125" style="55" customWidth="1"/>
    <col min="5" max="5" width="9.875" style="55" customWidth="1"/>
    <col min="6" max="6" width="9.375" style="55" customWidth="1"/>
    <col min="7" max="7" width="7.875" style="55" customWidth="1"/>
    <col min="8" max="8" width="9.00390625" style="55" customWidth="1"/>
    <col min="9" max="9" width="7.125" style="55" customWidth="1"/>
    <col min="10" max="11" width="7.875" style="55" customWidth="1"/>
    <col min="12" max="12" width="8.625" style="234" customWidth="1"/>
    <col min="13" max="13" width="22.625" style="37" bestFit="1" customWidth="1"/>
    <col min="14" max="14" width="9.375" style="55" bestFit="1" customWidth="1"/>
    <col min="15" max="20" width="8.75390625" style="55" customWidth="1"/>
    <col min="21" max="21" width="8.75390625" style="234" customWidth="1"/>
    <col min="22" max="22" width="22.625" style="37" bestFit="1" customWidth="1"/>
    <col min="23" max="23" width="9.375" style="55" bestFit="1" customWidth="1"/>
    <col min="24" max="24" width="9.25390625" style="55" bestFit="1" customWidth="1"/>
    <col min="25" max="26" width="10.00390625" style="55" bestFit="1" customWidth="1"/>
    <col min="27" max="30" width="10.00390625" style="55" customWidth="1"/>
    <col min="31" max="31" width="9.25390625" style="234" bestFit="1" customWidth="1"/>
    <col min="32" max="32" width="12.125" style="37" customWidth="1"/>
    <col min="33" max="39" width="8.75390625" style="55" customWidth="1"/>
    <col min="40" max="16384" width="9.125" style="37" customWidth="1"/>
  </cols>
  <sheetData>
    <row r="1" spans="1:40" ht="12.75" customHeight="1">
      <c r="A1" s="356" t="s">
        <v>385</v>
      </c>
      <c r="B1" s="360" t="s">
        <v>386</v>
      </c>
      <c r="C1" s="366" t="s">
        <v>387</v>
      </c>
      <c r="D1" s="367"/>
      <c r="E1" s="367"/>
      <c r="F1" s="367"/>
      <c r="G1" s="367"/>
      <c r="H1" s="367"/>
      <c r="I1" s="367"/>
      <c r="J1" s="367"/>
      <c r="K1" s="367"/>
      <c r="L1" s="368"/>
      <c r="M1" s="356" t="s">
        <v>385</v>
      </c>
      <c r="N1" s="360" t="s">
        <v>386</v>
      </c>
      <c r="O1" s="382" t="s">
        <v>388</v>
      </c>
      <c r="P1" s="383"/>
      <c r="Q1" s="383"/>
      <c r="R1" s="383"/>
      <c r="S1" s="383"/>
      <c r="T1" s="383"/>
      <c r="U1" s="384"/>
      <c r="V1" s="356" t="s">
        <v>385</v>
      </c>
      <c r="W1" s="360" t="s">
        <v>386</v>
      </c>
      <c r="X1" s="382" t="s">
        <v>776</v>
      </c>
      <c r="Y1" s="389"/>
      <c r="Z1" s="389"/>
      <c r="AA1" s="389"/>
      <c r="AB1" s="389"/>
      <c r="AC1" s="389"/>
      <c r="AD1" s="389"/>
      <c r="AE1" s="390"/>
      <c r="AF1" s="356" t="s">
        <v>385</v>
      </c>
      <c r="AG1" s="360" t="s">
        <v>778</v>
      </c>
      <c r="AH1" s="360" t="s">
        <v>17</v>
      </c>
      <c r="AI1" s="360" t="s">
        <v>1182</v>
      </c>
      <c r="AJ1" s="360" t="s">
        <v>936</v>
      </c>
      <c r="AK1" s="360" t="s">
        <v>389</v>
      </c>
      <c r="AL1" s="360" t="s">
        <v>1652</v>
      </c>
      <c r="AM1" s="360" t="s">
        <v>779</v>
      </c>
      <c r="AN1" s="396" t="s">
        <v>396</v>
      </c>
    </row>
    <row r="2" spans="1:40" ht="12">
      <c r="A2" s="353"/>
      <c r="B2" s="354"/>
      <c r="C2" s="369"/>
      <c r="D2" s="370"/>
      <c r="E2" s="370"/>
      <c r="F2" s="370"/>
      <c r="G2" s="370"/>
      <c r="H2" s="370"/>
      <c r="I2" s="370"/>
      <c r="J2" s="370"/>
      <c r="K2" s="370"/>
      <c r="L2" s="371"/>
      <c r="M2" s="353"/>
      <c r="N2" s="354"/>
      <c r="O2" s="377"/>
      <c r="P2" s="378"/>
      <c r="Q2" s="378"/>
      <c r="R2" s="378"/>
      <c r="S2" s="378"/>
      <c r="T2" s="378"/>
      <c r="U2" s="379"/>
      <c r="V2" s="353"/>
      <c r="W2" s="354"/>
      <c r="X2" s="391"/>
      <c r="Y2" s="392"/>
      <c r="Z2" s="392"/>
      <c r="AA2" s="392"/>
      <c r="AB2" s="392"/>
      <c r="AC2" s="392"/>
      <c r="AD2" s="392"/>
      <c r="AE2" s="393"/>
      <c r="AF2" s="353"/>
      <c r="AG2" s="387"/>
      <c r="AH2" s="394"/>
      <c r="AI2" s="394"/>
      <c r="AJ2" s="394"/>
      <c r="AK2" s="394"/>
      <c r="AL2" s="354"/>
      <c r="AM2" s="354"/>
      <c r="AN2" s="385"/>
    </row>
    <row r="3" spans="1:40" ht="12">
      <c r="A3" s="353"/>
      <c r="B3" s="354"/>
      <c r="C3" s="364" t="s">
        <v>390</v>
      </c>
      <c r="D3" s="354" t="s">
        <v>391</v>
      </c>
      <c r="E3" s="354" t="s">
        <v>392</v>
      </c>
      <c r="F3" s="354" t="s">
        <v>1180</v>
      </c>
      <c r="G3" s="354" t="s">
        <v>393</v>
      </c>
      <c r="H3" s="354" t="s">
        <v>394</v>
      </c>
      <c r="I3" s="374" t="s">
        <v>395</v>
      </c>
      <c r="J3" s="375"/>
      <c r="K3" s="376"/>
      <c r="L3" s="380" t="s">
        <v>396</v>
      </c>
      <c r="M3" s="353"/>
      <c r="N3" s="354"/>
      <c r="O3" s="364" t="s">
        <v>390</v>
      </c>
      <c r="P3" s="354" t="s">
        <v>391</v>
      </c>
      <c r="Q3" s="354" t="s">
        <v>392</v>
      </c>
      <c r="R3" s="354" t="s">
        <v>1180</v>
      </c>
      <c r="S3" s="354" t="s">
        <v>393</v>
      </c>
      <c r="T3" s="360" t="s">
        <v>1407</v>
      </c>
      <c r="U3" s="385" t="s">
        <v>396</v>
      </c>
      <c r="V3" s="353"/>
      <c r="W3" s="354"/>
      <c r="X3" s="364" t="s">
        <v>390</v>
      </c>
      <c r="Y3" s="354" t="s">
        <v>391</v>
      </c>
      <c r="Z3" s="354" t="s">
        <v>392</v>
      </c>
      <c r="AA3" s="354" t="s">
        <v>1180</v>
      </c>
      <c r="AB3" s="354" t="s">
        <v>393</v>
      </c>
      <c r="AC3" s="360" t="s">
        <v>398</v>
      </c>
      <c r="AD3" s="360" t="s">
        <v>1183</v>
      </c>
      <c r="AE3" s="380" t="s">
        <v>396</v>
      </c>
      <c r="AF3" s="353"/>
      <c r="AG3" s="387"/>
      <c r="AH3" s="394"/>
      <c r="AI3" s="394"/>
      <c r="AJ3" s="394"/>
      <c r="AK3" s="394"/>
      <c r="AL3" s="354"/>
      <c r="AM3" s="354"/>
      <c r="AN3" s="385"/>
    </row>
    <row r="4" spans="1:40" ht="12">
      <c r="A4" s="353"/>
      <c r="B4" s="354"/>
      <c r="C4" s="364"/>
      <c r="D4" s="354"/>
      <c r="E4" s="354"/>
      <c r="F4" s="354"/>
      <c r="G4" s="354"/>
      <c r="H4" s="354"/>
      <c r="I4" s="377"/>
      <c r="J4" s="378"/>
      <c r="K4" s="379"/>
      <c r="L4" s="380"/>
      <c r="M4" s="353"/>
      <c r="N4" s="354"/>
      <c r="O4" s="364"/>
      <c r="P4" s="354"/>
      <c r="Q4" s="354"/>
      <c r="R4" s="354"/>
      <c r="S4" s="354"/>
      <c r="T4" s="387"/>
      <c r="U4" s="385"/>
      <c r="V4" s="353"/>
      <c r="W4" s="354"/>
      <c r="X4" s="364"/>
      <c r="Y4" s="354"/>
      <c r="Z4" s="354"/>
      <c r="AA4" s="354"/>
      <c r="AB4" s="354"/>
      <c r="AC4" s="354"/>
      <c r="AD4" s="387"/>
      <c r="AE4" s="380"/>
      <c r="AF4" s="353"/>
      <c r="AG4" s="387"/>
      <c r="AH4" s="394"/>
      <c r="AI4" s="394"/>
      <c r="AJ4" s="394"/>
      <c r="AK4" s="394"/>
      <c r="AL4" s="354"/>
      <c r="AM4" s="354"/>
      <c r="AN4" s="385"/>
    </row>
    <row r="5" spans="1:40" ht="12">
      <c r="A5" s="353"/>
      <c r="B5" s="354"/>
      <c r="C5" s="364"/>
      <c r="D5" s="354"/>
      <c r="E5" s="354"/>
      <c r="F5" s="354"/>
      <c r="G5" s="354"/>
      <c r="H5" s="354"/>
      <c r="I5" s="354" t="s">
        <v>1181</v>
      </c>
      <c r="J5" s="354" t="s">
        <v>397</v>
      </c>
      <c r="K5" s="372" t="s">
        <v>398</v>
      </c>
      <c r="L5" s="380"/>
      <c r="M5" s="353"/>
      <c r="N5" s="354"/>
      <c r="O5" s="364"/>
      <c r="P5" s="354"/>
      <c r="Q5" s="354"/>
      <c r="R5" s="354"/>
      <c r="S5" s="354"/>
      <c r="T5" s="387"/>
      <c r="U5" s="385"/>
      <c r="V5" s="353"/>
      <c r="W5" s="354"/>
      <c r="X5" s="364"/>
      <c r="Y5" s="354"/>
      <c r="Z5" s="354"/>
      <c r="AA5" s="354"/>
      <c r="AB5" s="354"/>
      <c r="AC5" s="354"/>
      <c r="AD5" s="387"/>
      <c r="AE5" s="380"/>
      <c r="AF5" s="353"/>
      <c r="AG5" s="387"/>
      <c r="AH5" s="394"/>
      <c r="AI5" s="394"/>
      <c r="AJ5" s="394"/>
      <c r="AK5" s="394"/>
      <c r="AL5" s="354"/>
      <c r="AM5" s="354"/>
      <c r="AN5" s="385"/>
    </row>
    <row r="6" spans="1:40" ht="12">
      <c r="A6" s="353"/>
      <c r="B6" s="354"/>
      <c r="C6" s="364"/>
      <c r="D6" s="354"/>
      <c r="E6" s="354"/>
      <c r="F6" s="354"/>
      <c r="G6" s="354"/>
      <c r="H6" s="354"/>
      <c r="I6" s="354"/>
      <c r="J6" s="354"/>
      <c r="K6" s="372"/>
      <c r="L6" s="380"/>
      <c r="M6" s="353"/>
      <c r="N6" s="354"/>
      <c r="O6" s="364"/>
      <c r="P6" s="354"/>
      <c r="Q6" s="354"/>
      <c r="R6" s="354"/>
      <c r="S6" s="354"/>
      <c r="T6" s="387"/>
      <c r="U6" s="385"/>
      <c r="V6" s="353"/>
      <c r="W6" s="354"/>
      <c r="X6" s="364"/>
      <c r="Y6" s="354"/>
      <c r="Z6" s="354"/>
      <c r="AA6" s="354"/>
      <c r="AB6" s="354"/>
      <c r="AC6" s="354"/>
      <c r="AD6" s="387"/>
      <c r="AE6" s="380"/>
      <c r="AF6" s="353"/>
      <c r="AG6" s="387"/>
      <c r="AH6" s="394"/>
      <c r="AI6" s="394"/>
      <c r="AJ6" s="394"/>
      <c r="AK6" s="394"/>
      <c r="AL6" s="354"/>
      <c r="AM6" s="354"/>
      <c r="AN6" s="385"/>
    </row>
    <row r="7" spans="1:40" ht="12">
      <c r="A7" s="353"/>
      <c r="B7" s="354"/>
      <c r="C7" s="364"/>
      <c r="D7" s="354"/>
      <c r="E7" s="354"/>
      <c r="F7" s="354"/>
      <c r="G7" s="354"/>
      <c r="H7" s="354"/>
      <c r="I7" s="354"/>
      <c r="J7" s="354"/>
      <c r="K7" s="372"/>
      <c r="L7" s="380"/>
      <c r="M7" s="353"/>
      <c r="N7" s="354"/>
      <c r="O7" s="364"/>
      <c r="P7" s="354"/>
      <c r="Q7" s="354"/>
      <c r="R7" s="354"/>
      <c r="S7" s="354"/>
      <c r="T7" s="387"/>
      <c r="U7" s="385"/>
      <c r="V7" s="353"/>
      <c r="W7" s="354"/>
      <c r="X7" s="364"/>
      <c r="Y7" s="354"/>
      <c r="Z7" s="354"/>
      <c r="AA7" s="354"/>
      <c r="AB7" s="354"/>
      <c r="AC7" s="399"/>
      <c r="AD7" s="387"/>
      <c r="AE7" s="380"/>
      <c r="AF7" s="353"/>
      <c r="AG7" s="387"/>
      <c r="AH7" s="394"/>
      <c r="AI7" s="394"/>
      <c r="AJ7" s="394"/>
      <c r="AK7" s="394"/>
      <c r="AL7" s="354"/>
      <c r="AM7" s="354"/>
      <c r="AN7" s="397"/>
    </row>
    <row r="8" spans="1:40" ht="31.5" customHeight="1" thickBot="1">
      <c r="A8" s="352"/>
      <c r="B8" s="355"/>
      <c r="C8" s="365"/>
      <c r="D8" s="355"/>
      <c r="E8" s="355"/>
      <c r="F8" s="355"/>
      <c r="G8" s="355"/>
      <c r="H8" s="355"/>
      <c r="I8" s="355"/>
      <c r="J8" s="355"/>
      <c r="K8" s="373"/>
      <c r="L8" s="381"/>
      <c r="M8" s="352"/>
      <c r="N8" s="355"/>
      <c r="O8" s="365"/>
      <c r="P8" s="355"/>
      <c r="Q8" s="355"/>
      <c r="R8" s="355"/>
      <c r="S8" s="355"/>
      <c r="T8" s="388"/>
      <c r="U8" s="386"/>
      <c r="V8" s="352"/>
      <c r="W8" s="355"/>
      <c r="X8" s="365"/>
      <c r="Y8" s="355"/>
      <c r="Z8" s="355"/>
      <c r="AA8" s="355"/>
      <c r="AB8" s="355"/>
      <c r="AC8" s="400"/>
      <c r="AD8" s="388"/>
      <c r="AE8" s="381"/>
      <c r="AF8" s="352"/>
      <c r="AG8" s="388"/>
      <c r="AH8" s="395"/>
      <c r="AI8" s="395"/>
      <c r="AJ8" s="395"/>
      <c r="AK8" s="395"/>
      <c r="AL8" s="355"/>
      <c r="AM8" s="355"/>
      <c r="AN8" s="398"/>
    </row>
    <row r="9" spans="1:40" ht="12.75" thickTop="1">
      <c r="A9" s="41"/>
      <c r="B9" s="5"/>
      <c r="C9" s="5"/>
      <c r="D9" s="5"/>
      <c r="E9" s="5"/>
      <c r="F9" s="5"/>
      <c r="G9" s="5"/>
      <c r="H9" s="5"/>
      <c r="I9" s="5"/>
      <c r="J9" s="5"/>
      <c r="K9" s="44"/>
      <c r="L9" s="227"/>
      <c r="M9" s="41"/>
      <c r="N9" s="5"/>
      <c r="O9" s="5"/>
      <c r="P9" s="5"/>
      <c r="Q9" s="5"/>
      <c r="R9" s="5"/>
      <c r="S9" s="5"/>
      <c r="T9" s="5"/>
      <c r="U9" s="92"/>
      <c r="V9" s="41"/>
      <c r="W9" s="5"/>
      <c r="X9" s="5"/>
      <c r="Y9" s="5"/>
      <c r="Z9" s="5"/>
      <c r="AA9" s="44"/>
      <c r="AB9" s="44"/>
      <c r="AC9" s="44"/>
      <c r="AD9" s="44"/>
      <c r="AE9" s="227"/>
      <c r="AF9" s="41"/>
      <c r="AG9" s="5"/>
      <c r="AH9" s="5"/>
      <c r="AI9" s="5"/>
      <c r="AJ9" s="5"/>
      <c r="AK9" s="5"/>
      <c r="AL9" s="5"/>
      <c r="AM9" s="5"/>
      <c r="AN9" s="41"/>
    </row>
    <row r="10" spans="1:40" ht="12">
      <c r="A10" s="41" t="s">
        <v>1165</v>
      </c>
      <c r="B10" s="5">
        <v>21</v>
      </c>
      <c r="C10" s="5">
        <v>24</v>
      </c>
      <c r="D10" s="5">
        <f aca="true" t="shared" si="0" ref="D10:D21">B10*C10</f>
        <v>504</v>
      </c>
      <c r="E10" s="5">
        <v>253</v>
      </c>
      <c r="F10" s="5">
        <v>102</v>
      </c>
      <c r="G10" s="5">
        <v>47</v>
      </c>
      <c r="H10" s="5">
        <v>104</v>
      </c>
      <c r="I10" s="5"/>
      <c r="J10" s="5">
        <v>0</v>
      </c>
      <c r="K10" s="44"/>
      <c r="L10" s="227">
        <f aca="true" t="shared" si="1" ref="L10:L15">E10/D10</f>
        <v>0.501984126984127</v>
      </c>
      <c r="M10" s="41" t="s">
        <v>1165</v>
      </c>
      <c r="N10" s="5">
        <v>21</v>
      </c>
      <c r="O10" s="5">
        <v>20</v>
      </c>
      <c r="P10" s="5">
        <f aca="true" t="shared" si="2" ref="P10:P21">N10*O10</f>
        <v>420</v>
      </c>
      <c r="Q10" s="5">
        <v>335</v>
      </c>
      <c r="R10" s="5">
        <v>182</v>
      </c>
      <c r="S10" s="5">
        <v>153</v>
      </c>
      <c r="T10" s="5"/>
      <c r="U10" s="92">
        <f aca="true" t="shared" si="3" ref="U10:U15">Q10/P10</f>
        <v>0.7976190476190477</v>
      </c>
      <c r="V10" s="41" t="s">
        <v>1165</v>
      </c>
      <c r="W10" s="5">
        <v>21</v>
      </c>
      <c r="X10" s="5">
        <v>45</v>
      </c>
      <c r="Y10" s="5">
        <f aca="true" t="shared" si="4" ref="Y10:Y21">N10*X10</f>
        <v>945</v>
      </c>
      <c r="Z10" s="5">
        <v>804</v>
      </c>
      <c r="AA10" s="44">
        <v>212</v>
      </c>
      <c r="AB10" s="44">
        <v>324</v>
      </c>
      <c r="AC10" s="44">
        <v>268</v>
      </c>
      <c r="AD10" s="44"/>
      <c r="AE10" s="227">
        <f aca="true" t="shared" si="5" ref="AE10:AE15">Z10/Y10</f>
        <v>0.8507936507936508</v>
      </c>
      <c r="AF10" s="41" t="s">
        <v>1165</v>
      </c>
      <c r="AG10" s="5">
        <v>21</v>
      </c>
      <c r="AH10" s="281"/>
      <c r="AI10" s="5">
        <v>29</v>
      </c>
      <c r="AJ10" s="5">
        <f>AG10*AI10</f>
        <v>609</v>
      </c>
      <c r="AK10" s="5">
        <v>357</v>
      </c>
      <c r="AL10" s="5">
        <v>42</v>
      </c>
      <c r="AM10" s="5">
        <v>617</v>
      </c>
      <c r="AN10" s="235">
        <f>AM10/(AG10*AL10)</f>
        <v>0.699546485260771</v>
      </c>
    </row>
    <row r="11" spans="1:40" ht="12">
      <c r="A11" s="41" t="s">
        <v>1166</v>
      </c>
      <c r="B11" s="5">
        <v>20</v>
      </c>
      <c r="C11" s="5">
        <v>24</v>
      </c>
      <c r="D11" s="5">
        <f t="shared" si="0"/>
        <v>480</v>
      </c>
      <c r="E11" s="5">
        <v>330</v>
      </c>
      <c r="F11" s="5">
        <v>97</v>
      </c>
      <c r="G11" s="5">
        <v>63</v>
      </c>
      <c r="H11" s="5">
        <v>170</v>
      </c>
      <c r="I11" s="5"/>
      <c r="J11" s="5"/>
      <c r="K11" s="44"/>
      <c r="L11" s="227">
        <f t="shared" si="1"/>
        <v>0.6875</v>
      </c>
      <c r="M11" s="41" t="s">
        <v>1166</v>
      </c>
      <c r="N11" s="5">
        <v>20</v>
      </c>
      <c r="O11" s="5">
        <v>19</v>
      </c>
      <c r="P11" s="5">
        <f t="shared" si="2"/>
        <v>380</v>
      </c>
      <c r="Q11" s="5">
        <v>301</v>
      </c>
      <c r="R11" s="5">
        <v>162</v>
      </c>
      <c r="S11" s="5">
        <v>309</v>
      </c>
      <c r="T11" s="5"/>
      <c r="U11" s="92">
        <f t="shared" si="3"/>
        <v>0.7921052631578948</v>
      </c>
      <c r="V11" s="41" t="s">
        <v>1166</v>
      </c>
      <c r="W11" s="5">
        <v>20</v>
      </c>
      <c r="X11" s="5">
        <v>45</v>
      </c>
      <c r="Y11" s="5">
        <f t="shared" si="4"/>
        <v>900</v>
      </c>
      <c r="Z11" s="5">
        <v>732</v>
      </c>
      <c r="AA11" s="44">
        <v>192</v>
      </c>
      <c r="AB11" s="44">
        <v>307</v>
      </c>
      <c r="AC11" s="44">
        <v>233</v>
      </c>
      <c r="AD11" s="44"/>
      <c r="AE11" s="227">
        <f t="shared" si="5"/>
        <v>0.8133333333333334</v>
      </c>
      <c r="AF11" s="41" t="s">
        <v>1166</v>
      </c>
      <c r="AG11" s="5">
        <v>20</v>
      </c>
      <c r="AH11" s="5"/>
      <c r="AI11" s="5">
        <v>30</v>
      </c>
      <c r="AJ11" s="5">
        <f aca="true" t="shared" si="6" ref="AJ11:AJ21">AG11*AI11</f>
        <v>600</v>
      </c>
      <c r="AK11" s="5">
        <v>340</v>
      </c>
      <c r="AL11" s="5">
        <v>35</v>
      </c>
      <c r="AM11" s="5">
        <v>527</v>
      </c>
      <c r="AN11" s="235">
        <f aca="true" t="shared" si="7" ref="AN11:AN21">AM11/(AG11*AL11)</f>
        <v>0.7528571428571429</v>
      </c>
    </row>
    <row r="12" spans="1:40" ht="12">
      <c r="A12" s="41" t="s">
        <v>1167</v>
      </c>
      <c r="B12" s="5">
        <v>21</v>
      </c>
      <c r="C12" s="5">
        <v>25</v>
      </c>
      <c r="D12" s="5">
        <f t="shared" si="0"/>
        <v>525</v>
      </c>
      <c r="E12" s="5">
        <v>444</v>
      </c>
      <c r="F12" s="5">
        <v>126</v>
      </c>
      <c r="G12" s="5">
        <v>82</v>
      </c>
      <c r="H12" s="5">
        <v>236</v>
      </c>
      <c r="I12" s="5"/>
      <c r="J12" s="5"/>
      <c r="K12" s="44"/>
      <c r="L12" s="227">
        <f t="shared" si="1"/>
        <v>0.8457142857142858</v>
      </c>
      <c r="M12" s="41" t="s">
        <v>1167</v>
      </c>
      <c r="N12" s="5">
        <v>21</v>
      </c>
      <c r="O12" s="5">
        <v>22</v>
      </c>
      <c r="P12" s="5">
        <f t="shared" si="2"/>
        <v>462</v>
      </c>
      <c r="Q12" s="5">
        <v>329</v>
      </c>
      <c r="R12" s="5">
        <v>189</v>
      </c>
      <c r="S12" s="5">
        <v>140</v>
      </c>
      <c r="T12" s="5"/>
      <c r="U12" s="92">
        <f t="shared" si="3"/>
        <v>0.7121212121212122</v>
      </c>
      <c r="V12" s="41" t="s">
        <v>1167</v>
      </c>
      <c r="W12" s="5">
        <v>21</v>
      </c>
      <c r="X12" s="5">
        <v>45</v>
      </c>
      <c r="Y12" s="5">
        <f t="shared" si="4"/>
        <v>945</v>
      </c>
      <c r="Z12" s="5">
        <v>784</v>
      </c>
      <c r="AA12" s="44">
        <v>215</v>
      </c>
      <c r="AB12" s="44">
        <v>320</v>
      </c>
      <c r="AC12" s="44">
        <v>269</v>
      </c>
      <c r="AD12" s="44"/>
      <c r="AE12" s="227">
        <f t="shared" si="5"/>
        <v>0.8296296296296296</v>
      </c>
      <c r="AF12" s="41" t="s">
        <v>1167</v>
      </c>
      <c r="AG12" s="5">
        <v>21</v>
      </c>
      <c r="AH12" s="281"/>
      <c r="AI12" s="5">
        <v>28</v>
      </c>
      <c r="AJ12" s="5">
        <f t="shared" si="6"/>
        <v>588</v>
      </c>
      <c r="AK12" s="5">
        <v>282</v>
      </c>
      <c r="AL12" s="5">
        <v>37</v>
      </c>
      <c r="AM12" s="5">
        <v>576</v>
      </c>
      <c r="AN12" s="235">
        <f t="shared" si="7"/>
        <v>0.7413127413127413</v>
      </c>
    </row>
    <row r="13" spans="1:40" ht="12">
      <c r="A13" s="41" t="s">
        <v>1168</v>
      </c>
      <c r="B13" s="5">
        <v>16</v>
      </c>
      <c r="C13" s="5">
        <v>25</v>
      </c>
      <c r="D13" s="5">
        <f t="shared" si="0"/>
        <v>400</v>
      </c>
      <c r="E13" s="5">
        <v>309</v>
      </c>
      <c r="F13" s="5">
        <v>103</v>
      </c>
      <c r="G13" s="5">
        <v>48</v>
      </c>
      <c r="H13" s="5">
        <v>158</v>
      </c>
      <c r="I13" s="5"/>
      <c r="J13" s="5"/>
      <c r="K13" s="44"/>
      <c r="L13" s="227">
        <f t="shared" si="1"/>
        <v>0.7725</v>
      </c>
      <c r="M13" s="41" t="s">
        <v>1168</v>
      </c>
      <c r="N13" s="5">
        <v>16</v>
      </c>
      <c r="O13" s="5">
        <v>24</v>
      </c>
      <c r="P13" s="5">
        <f t="shared" si="2"/>
        <v>384</v>
      </c>
      <c r="Q13" s="5">
        <v>289</v>
      </c>
      <c r="R13" s="5">
        <v>170</v>
      </c>
      <c r="S13" s="5">
        <v>119</v>
      </c>
      <c r="T13" s="5"/>
      <c r="U13" s="92">
        <f t="shared" si="3"/>
        <v>0.7526041666666666</v>
      </c>
      <c r="V13" s="41" t="s">
        <v>1168</v>
      </c>
      <c r="W13" s="5">
        <v>16</v>
      </c>
      <c r="X13" s="5">
        <v>45</v>
      </c>
      <c r="Y13" s="5">
        <f t="shared" si="4"/>
        <v>720</v>
      </c>
      <c r="Z13" s="5">
        <v>663</v>
      </c>
      <c r="AA13" s="44">
        <v>165</v>
      </c>
      <c r="AB13" s="44">
        <v>270</v>
      </c>
      <c r="AC13" s="44">
        <v>228</v>
      </c>
      <c r="AD13" s="44"/>
      <c r="AE13" s="227">
        <f t="shared" si="5"/>
        <v>0.9208333333333333</v>
      </c>
      <c r="AF13" s="41" t="s">
        <v>1168</v>
      </c>
      <c r="AG13" s="5">
        <v>17</v>
      </c>
      <c r="AH13" s="281"/>
      <c r="AI13" s="5">
        <v>28</v>
      </c>
      <c r="AJ13" s="5">
        <f t="shared" si="6"/>
        <v>476</v>
      </c>
      <c r="AK13" s="5">
        <v>227</v>
      </c>
      <c r="AL13" s="5">
        <v>37</v>
      </c>
      <c r="AM13" s="5">
        <v>447</v>
      </c>
      <c r="AN13" s="235">
        <f t="shared" si="7"/>
        <v>0.7106518282988871</v>
      </c>
    </row>
    <row r="14" spans="1:40" ht="12">
      <c r="A14" s="41" t="s">
        <v>1169</v>
      </c>
      <c r="B14" s="5">
        <v>21</v>
      </c>
      <c r="C14" s="5">
        <v>25</v>
      </c>
      <c r="D14" s="5">
        <f t="shared" si="0"/>
        <v>525</v>
      </c>
      <c r="E14" s="5">
        <v>438</v>
      </c>
      <c r="F14" s="5">
        <v>155</v>
      </c>
      <c r="G14" s="5">
        <v>70</v>
      </c>
      <c r="H14" s="5">
        <v>213</v>
      </c>
      <c r="I14" s="5"/>
      <c r="J14" s="5"/>
      <c r="K14" s="44"/>
      <c r="L14" s="227">
        <f t="shared" si="1"/>
        <v>0.8342857142857143</v>
      </c>
      <c r="M14" s="41" t="s">
        <v>1169</v>
      </c>
      <c r="N14" s="5">
        <v>21</v>
      </c>
      <c r="O14" s="5">
        <v>24</v>
      </c>
      <c r="P14" s="5">
        <f t="shared" si="2"/>
        <v>504</v>
      </c>
      <c r="Q14" s="5">
        <v>323</v>
      </c>
      <c r="R14" s="5">
        <v>188</v>
      </c>
      <c r="S14" s="5">
        <v>135</v>
      </c>
      <c r="T14" s="5"/>
      <c r="U14" s="92">
        <f t="shared" si="3"/>
        <v>0.6408730158730159</v>
      </c>
      <c r="V14" s="41" t="s">
        <v>1169</v>
      </c>
      <c r="W14" s="5">
        <v>21</v>
      </c>
      <c r="X14" s="5">
        <v>46</v>
      </c>
      <c r="Y14" s="5">
        <f t="shared" si="4"/>
        <v>966</v>
      </c>
      <c r="Z14" s="5">
        <v>805</v>
      </c>
      <c r="AA14" s="44">
        <v>210</v>
      </c>
      <c r="AB14" s="44">
        <v>332</v>
      </c>
      <c r="AC14" s="44">
        <v>263</v>
      </c>
      <c r="AD14" s="44"/>
      <c r="AE14" s="227">
        <f t="shared" si="5"/>
        <v>0.8333333333333334</v>
      </c>
      <c r="AF14" s="41" t="s">
        <v>1169</v>
      </c>
      <c r="AG14" s="5">
        <v>21</v>
      </c>
      <c r="AH14" s="281"/>
      <c r="AI14" s="5">
        <v>28</v>
      </c>
      <c r="AJ14" s="5">
        <f t="shared" si="6"/>
        <v>588</v>
      </c>
      <c r="AK14" s="5">
        <v>254</v>
      </c>
      <c r="AL14" s="5">
        <v>36</v>
      </c>
      <c r="AM14" s="5">
        <v>586</v>
      </c>
      <c r="AN14" s="235">
        <f t="shared" si="7"/>
        <v>0.7751322751322751</v>
      </c>
    </row>
    <row r="15" spans="1:40" ht="12">
      <c r="A15" s="41" t="s">
        <v>1170</v>
      </c>
      <c r="B15" s="5">
        <v>21</v>
      </c>
      <c r="C15" s="5">
        <v>25</v>
      </c>
      <c r="D15" s="5">
        <f t="shared" si="0"/>
        <v>525</v>
      </c>
      <c r="E15" s="5">
        <v>445</v>
      </c>
      <c r="F15" s="5">
        <v>166</v>
      </c>
      <c r="G15" s="5">
        <v>76</v>
      </c>
      <c r="H15" s="5">
        <v>203</v>
      </c>
      <c r="I15" s="5"/>
      <c r="J15" s="5"/>
      <c r="K15" s="44"/>
      <c r="L15" s="227">
        <f t="shared" si="1"/>
        <v>0.8476190476190476</v>
      </c>
      <c r="M15" s="41" t="s">
        <v>1170</v>
      </c>
      <c r="N15" s="283">
        <v>9</v>
      </c>
      <c r="O15" s="283">
        <v>18</v>
      </c>
      <c r="P15" s="283">
        <f t="shared" si="2"/>
        <v>162</v>
      </c>
      <c r="Q15" s="283">
        <v>263</v>
      </c>
      <c r="R15" s="283">
        <v>156</v>
      </c>
      <c r="S15" s="283">
        <v>17</v>
      </c>
      <c r="T15" s="5"/>
      <c r="U15" s="92">
        <f t="shared" si="3"/>
        <v>1.623456790123457</v>
      </c>
      <c r="V15" s="41" t="s">
        <v>1170</v>
      </c>
      <c r="W15" s="5">
        <v>6</v>
      </c>
      <c r="X15" s="5">
        <v>45</v>
      </c>
      <c r="Y15" s="5">
        <f t="shared" si="4"/>
        <v>405</v>
      </c>
      <c r="Z15" s="5">
        <v>312</v>
      </c>
      <c r="AA15" s="44">
        <v>82</v>
      </c>
      <c r="AB15" s="44">
        <v>118</v>
      </c>
      <c r="AC15" s="44">
        <v>112</v>
      </c>
      <c r="AD15" s="44"/>
      <c r="AE15" s="227">
        <f t="shared" si="5"/>
        <v>0.7703703703703704</v>
      </c>
      <c r="AF15" s="41" t="s">
        <v>1170</v>
      </c>
      <c r="AG15" s="5">
        <v>21</v>
      </c>
      <c r="AH15" s="5"/>
      <c r="AI15" s="5">
        <v>26</v>
      </c>
      <c r="AJ15" s="5">
        <f t="shared" si="6"/>
        <v>546</v>
      </c>
      <c r="AK15" s="5">
        <v>192</v>
      </c>
      <c r="AL15" s="5">
        <v>37</v>
      </c>
      <c r="AM15" s="5">
        <v>609</v>
      </c>
      <c r="AN15" s="235">
        <f t="shared" si="7"/>
        <v>0.7837837837837838</v>
      </c>
    </row>
    <row r="16" spans="1:40" ht="12">
      <c r="A16" s="41" t="s">
        <v>1171</v>
      </c>
      <c r="B16" s="5"/>
      <c r="C16" s="5"/>
      <c r="D16" s="5">
        <f t="shared" si="0"/>
        <v>0</v>
      </c>
      <c r="E16" s="5"/>
      <c r="F16" s="5"/>
      <c r="G16" s="5"/>
      <c r="H16" s="5"/>
      <c r="I16" s="5"/>
      <c r="J16" s="5"/>
      <c r="K16" s="44"/>
      <c r="L16" s="227"/>
      <c r="M16" s="41" t="s">
        <v>1171</v>
      </c>
      <c r="N16" s="5"/>
      <c r="O16" s="5"/>
      <c r="P16" s="5">
        <f t="shared" si="2"/>
        <v>0</v>
      </c>
      <c r="Q16" s="5"/>
      <c r="R16" s="5"/>
      <c r="S16" s="5"/>
      <c r="T16" s="5"/>
      <c r="U16" s="92"/>
      <c r="V16" s="41" t="s">
        <v>1171</v>
      </c>
      <c r="W16" s="5"/>
      <c r="X16" s="5"/>
      <c r="Y16" s="5">
        <f t="shared" si="4"/>
        <v>0</v>
      </c>
      <c r="Z16" s="5"/>
      <c r="AA16" s="44"/>
      <c r="AB16" s="44"/>
      <c r="AC16" s="44"/>
      <c r="AD16" s="44"/>
      <c r="AE16" s="227"/>
      <c r="AF16" s="41" t="s">
        <v>1171</v>
      </c>
      <c r="AG16" s="5">
        <v>22</v>
      </c>
      <c r="AH16" s="281"/>
      <c r="AI16" s="5">
        <v>8</v>
      </c>
      <c r="AJ16" s="5">
        <f t="shared" si="6"/>
        <v>176</v>
      </c>
      <c r="AK16" s="5">
        <v>55</v>
      </c>
      <c r="AL16" s="5">
        <v>34</v>
      </c>
      <c r="AM16" s="5">
        <v>573</v>
      </c>
      <c r="AN16" s="235">
        <f t="shared" si="7"/>
        <v>0.766042780748663</v>
      </c>
    </row>
    <row r="17" spans="1:40" ht="12">
      <c r="A17" s="41" t="s">
        <v>1172</v>
      </c>
      <c r="B17" s="5"/>
      <c r="C17" s="5"/>
      <c r="D17" s="5">
        <f t="shared" si="0"/>
        <v>0</v>
      </c>
      <c r="E17" s="5"/>
      <c r="F17" s="5"/>
      <c r="G17" s="5"/>
      <c r="H17" s="5"/>
      <c r="I17" s="5"/>
      <c r="J17" s="5"/>
      <c r="K17" s="44"/>
      <c r="L17" s="227"/>
      <c r="M17" s="41" t="s">
        <v>1172</v>
      </c>
      <c r="N17" s="283"/>
      <c r="O17" s="283"/>
      <c r="P17" s="283">
        <f t="shared" si="2"/>
        <v>0</v>
      </c>
      <c r="Q17" s="283"/>
      <c r="R17" s="283"/>
      <c r="S17" s="283"/>
      <c r="T17" s="5"/>
      <c r="U17" s="92"/>
      <c r="V17" s="41" t="s">
        <v>1172</v>
      </c>
      <c r="W17" s="5"/>
      <c r="X17" s="5"/>
      <c r="Y17" s="5">
        <f t="shared" si="4"/>
        <v>0</v>
      </c>
      <c r="Z17" s="5"/>
      <c r="AA17" s="44"/>
      <c r="AB17" s="44"/>
      <c r="AC17" s="44"/>
      <c r="AD17" s="44"/>
      <c r="AE17" s="227"/>
      <c r="AF17" s="41" t="s">
        <v>1172</v>
      </c>
      <c r="AG17" s="5">
        <v>13</v>
      </c>
      <c r="AH17" s="281"/>
      <c r="AI17" s="5">
        <v>8</v>
      </c>
      <c r="AJ17" s="5">
        <f t="shared" si="6"/>
        <v>104</v>
      </c>
      <c r="AK17" s="5">
        <v>47</v>
      </c>
      <c r="AL17" s="5">
        <v>32</v>
      </c>
      <c r="AM17" s="5">
        <v>344</v>
      </c>
      <c r="AN17" s="235">
        <f t="shared" si="7"/>
        <v>0.8269230769230769</v>
      </c>
    </row>
    <row r="18" spans="1:40" ht="12">
      <c r="A18" s="41" t="s">
        <v>1173</v>
      </c>
      <c r="B18" s="5">
        <v>20</v>
      </c>
      <c r="C18" s="5">
        <v>23</v>
      </c>
      <c r="D18" s="5">
        <f t="shared" si="0"/>
        <v>460</v>
      </c>
      <c r="E18" s="5">
        <v>385</v>
      </c>
      <c r="F18" s="5">
        <v>161</v>
      </c>
      <c r="G18" s="5">
        <v>78</v>
      </c>
      <c r="H18" s="5">
        <v>146</v>
      </c>
      <c r="I18" s="5"/>
      <c r="J18" s="5"/>
      <c r="K18" s="44"/>
      <c r="L18" s="227">
        <f>E18/D18</f>
        <v>0.8369565217391305</v>
      </c>
      <c r="M18" s="41" t="s">
        <v>1173</v>
      </c>
      <c r="N18" s="5">
        <v>20</v>
      </c>
      <c r="O18" s="5">
        <v>24</v>
      </c>
      <c r="P18" s="5">
        <f t="shared" si="2"/>
        <v>480</v>
      </c>
      <c r="Q18" s="5">
        <v>459</v>
      </c>
      <c r="R18" s="5">
        <v>244</v>
      </c>
      <c r="S18" s="5">
        <v>215</v>
      </c>
      <c r="T18" s="5"/>
      <c r="U18" s="92">
        <f>Q18/P18</f>
        <v>0.95625</v>
      </c>
      <c r="V18" s="41" t="s">
        <v>1173</v>
      </c>
      <c r="W18" s="5">
        <v>20</v>
      </c>
      <c r="X18" s="5">
        <v>51</v>
      </c>
      <c r="Y18" s="5">
        <f t="shared" si="4"/>
        <v>1020</v>
      </c>
      <c r="Z18" s="5">
        <v>967</v>
      </c>
      <c r="AA18" s="44">
        <v>314</v>
      </c>
      <c r="AB18" s="44">
        <v>653</v>
      </c>
      <c r="AC18" s="44">
        <v>0</v>
      </c>
      <c r="AD18" s="44"/>
      <c r="AE18" s="227">
        <f>Z18/Y18</f>
        <v>0.9480392156862745</v>
      </c>
      <c r="AF18" s="41" t="s">
        <v>1173</v>
      </c>
      <c r="AG18" s="5">
        <v>20</v>
      </c>
      <c r="AH18" s="281"/>
      <c r="AI18" s="5">
        <v>24</v>
      </c>
      <c r="AJ18" s="5">
        <f t="shared" si="6"/>
        <v>480</v>
      </c>
      <c r="AK18" s="5">
        <v>217</v>
      </c>
      <c r="AL18" s="5">
        <v>32</v>
      </c>
      <c r="AM18" s="5">
        <v>500</v>
      </c>
      <c r="AN18" s="235">
        <f t="shared" si="7"/>
        <v>0.78125</v>
      </c>
    </row>
    <row r="19" spans="1:40" ht="12">
      <c r="A19" s="41" t="s">
        <v>1174</v>
      </c>
      <c r="B19" s="5">
        <v>20</v>
      </c>
      <c r="C19" s="5">
        <v>23</v>
      </c>
      <c r="D19" s="5">
        <f t="shared" si="0"/>
        <v>460</v>
      </c>
      <c r="E19" s="5">
        <v>372</v>
      </c>
      <c r="F19" s="5">
        <v>148</v>
      </c>
      <c r="G19" s="5">
        <v>77</v>
      </c>
      <c r="H19" s="5">
        <v>147</v>
      </c>
      <c r="I19" s="5"/>
      <c r="J19" s="5"/>
      <c r="K19" s="44"/>
      <c r="L19" s="227">
        <f>E19/D19</f>
        <v>0.808695652173913</v>
      </c>
      <c r="M19" s="41" t="s">
        <v>1174</v>
      </c>
      <c r="N19" s="5">
        <v>18</v>
      </c>
      <c r="O19" s="5">
        <v>27</v>
      </c>
      <c r="P19" s="5">
        <f t="shared" si="2"/>
        <v>486</v>
      </c>
      <c r="Q19" s="5">
        <v>386</v>
      </c>
      <c r="R19" s="5">
        <v>199</v>
      </c>
      <c r="S19" s="5">
        <v>187</v>
      </c>
      <c r="T19" s="5"/>
      <c r="U19" s="92">
        <f>Q19/P19</f>
        <v>0.7942386831275721</v>
      </c>
      <c r="V19" s="41" t="s">
        <v>1174</v>
      </c>
      <c r="W19" s="5">
        <v>18</v>
      </c>
      <c r="X19" s="5">
        <v>52</v>
      </c>
      <c r="Y19" s="5">
        <f t="shared" si="4"/>
        <v>936</v>
      </c>
      <c r="Z19" s="5">
        <v>814</v>
      </c>
      <c r="AA19" s="44">
        <v>266</v>
      </c>
      <c r="AB19" s="44">
        <v>548</v>
      </c>
      <c r="AC19" s="44"/>
      <c r="AD19" s="44"/>
      <c r="AE19" s="227">
        <f>Z19/Y19</f>
        <v>0.8696581196581197</v>
      </c>
      <c r="AF19" s="41" t="s">
        <v>1174</v>
      </c>
      <c r="AG19" s="5">
        <v>20</v>
      </c>
      <c r="AH19" s="281"/>
      <c r="AI19" s="5">
        <v>20</v>
      </c>
      <c r="AJ19" s="5">
        <f t="shared" si="6"/>
        <v>400</v>
      </c>
      <c r="AK19" s="5">
        <v>197</v>
      </c>
      <c r="AL19" s="5">
        <v>33</v>
      </c>
      <c r="AM19" s="5">
        <v>536</v>
      </c>
      <c r="AN19" s="235">
        <f t="shared" si="7"/>
        <v>0.8121212121212121</v>
      </c>
    </row>
    <row r="20" spans="1:40" ht="12">
      <c r="A20" s="41" t="s">
        <v>1175</v>
      </c>
      <c r="B20" s="5">
        <v>20</v>
      </c>
      <c r="C20" s="5">
        <v>23</v>
      </c>
      <c r="D20" s="5">
        <f t="shared" si="0"/>
        <v>460</v>
      </c>
      <c r="E20" s="5">
        <v>359</v>
      </c>
      <c r="F20" s="5">
        <v>153</v>
      </c>
      <c r="G20" s="5">
        <v>75</v>
      </c>
      <c r="H20" s="5">
        <v>131</v>
      </c>
      <c r="I20" s="5"/>
      <c r="J20" s="5"/>
      <c r="K20" s="44"/>
      <c r="L20" s="227">
        <f>E20/D20</f>
        <v>0.7804347826086957</v>
      </c>
      <c r="M20" s="41" t="s">
        <v>1175</v>
      </c>
      <c r="N20" s="5">
        <v>20</v>
      </c>
      <c r="O20" s="5">
        <v>25</v>
      </c>
      <c r="P20" s="5">
        <f t="shared" si="2"/>
        <v>500</v>
      </c>
      <c r="Q20" s="5">
        <v>444</v>
      </c>
      <c r="R20" s="5">
        <v>239</v>
      </c>
      <c r="S20" s="5">
        <v>205</v>
      </c>
      <c r="T20" s="5"/>
      <c r="U20" s="92">
        <f>Q20/P20</f>
        <v>0.888</v>
      </c>
      <c r="V20" s="41" t="s">
        <v>1175</v>
      </c>
      <c r="W20" s="5">
        <v>20</v>
      </c>
      <c r="X20" s="5">
        <v>52</v>
      </c>
      <c r="Y20" s="5">
        <f t="shared" si="4"/>
        <v>1040</v>
      </c>
      <c r="Z20" s="5">
        <v>883</v>
      </c>
      <c r="AA20" s="44">
        <v>300</v>
      </c>
      <c r="AB20" s="44">
        <v>583</v>
      </c>
      <c r="AC20" s="44"/>
      <c r="AD20" s="44"/>
      <c r="AE20" s="227">
        <f>Z20/Y20</f>
        <v>0.8490384615384615</v>
      </c>
      <c r="AF20" s="41" t="s">
        <v>1175</v>
      </c>
      <c r="AG20" s="5">
        <v>20</v>
      </c>
      <c r="AH20" s="281"/>
      <c r="AI20" s="5">
        <v>21</v>
      </c>
      <c r="AJ20" s="5">
        <f t="shared" si="6"/>
        <v>420</v>
      </c>
      <c r="AK20" s="5">
        <v>205</v>
      </c>
      <c r="AL20" s="5">
        <v>36</v>
      </c>
      <c r="AM20" s="5">
        <v>547</v>
      </c>
      <c r="AN20" s="235">
        <f t="shared" si="7"/>
        <v>0.7597222222222222</v>
      </c>
    </row>
    <row r="21" spans="1:40" ht="12">
      <c r="A21" s="41" t="s">
        <v>1176</v>
      </c>
      <c r="B21" s="5">
        <v>15</v>
      </c>
      <c r="C21" s="5">
        <v>23</v>
      </c>
      <c r="D21" s="5">
        <f t="shared" si="0"/>
        <v>345</v>
      </c>
      <c r="E21" s="5">
        <v>312</v>
      </c>
      <c r="F21" s="5">
        <v>127</v>
      </c>
      <c r="G21" s="5">
        <v>70</v>
      </c>
      <c r="H21" s="5">
        <v>115</v>
      </c>
      <c r="I21" s="5"/>
      <c r="J21" s="5"/>
      <c r="K21" s="44"/>
      <c r="L21" s="227">
        <f>E21/D21</f>
        <v>0.9043478260869565</v>
      </c>
      <c r="M21" s="41" t="s">
        <v>1176</v>
      </c>
      <c r="N21" s="5">
        <v>15</v>
      </c>
      <c r="O21" s="5">
        <v>26</v>
      </c>
      <c r="P21" s="5">
        <f t="shared" si="2"/>
        <v>390</v>
      </c>
      <c r="Q21" s="5">
        <v>308</v>
      </c>
      <c r="R21" s="5">
        <v>185</v>
      </c>
      <c r="S21" s="5">
        <v>123</v>
      </c>
      <c r="T21" s="5"/>
      <c r="U21" s="92">
        <f>Q21/P21</f>
        <v>0.7897435897435897</v>
      </c>
      <c r="V21" s="41" t="s">
        <v>1176</v>
      </c>
      <c r="W21" s="5">
        <v>15</v>
      </c>
      <c r="X21" s="5">
        <v>49</v>
      </c>
      <c r="Y21" s="5">
        <f t="shared" si="4"/>
        <v>735</v>
      </c>
      <c r="Z21" s="5">
        <v>644</v>
      </c>
      <c r="AA21" s="44">
        <v>220</v>
      </c>
      <c r="AB21" s="44">
        <v>424</v>
      </c>
      <c r="AC21" s="44"/>
      <c r="AD21" s="44"/>
      <c r="AE21" s="227">
        <f>Z21/Y21</f>
        <v>0.8761904761904762</v>
      </c>
      <c r="AF21" s="41" t="s">
        <v>1176</v>
      </c>
      <c r="AG21" s="5">
        <v>15</v>
      </c>
      <c r="AH21" s="281"/>
      <c r="AI21" s="5">
        <v>17</v>
      </c>
      <c r="AJ21" s="5">
        <f t="shared" si="6"/>
        <v>255</v>
      </c>
      <c r="AK21" s="5">
        <v>171</v>
      </c>
      <c r="AL21" s="5">
        <v>34</v>
      </c>
      <c r="AM21" s="5">
        <v>431</v>
      </c>
      <c r="AN21" s="235">
        <f t="shared" si="7"/>
        <v>0.8450980392156863</v>
      </c>
    </row>
    <row r="22" spans="1:40" ht="12">
      <c r="A22" s="41"/>
      <c r="B22" s="5"/>
      <c r="C22" s="5"/>
      <c r="D22" s="5"/>
      <c r="E22" s="5"/>
      <c r="F22" s="5"/>
      <c r="G22" s="5"/>
      <c r="H22" s="5"/>
      <c r="I22" s="5"/>
      <c r="J22" s="5"/>
      <c r="K22" s="44"/>
      <c r="L22" s="227"/>
      <c r="M22" s="41"/>
      <c r="N22" s="5"/>
      <c r="O22" s="5"/>
      <c r="P22" s="5"/>
      <c r="Q22" s="5"/>
      <c r="R22" s="5"/>
      <c r="S22" s="5"/>
      <c r="T22" s="5"/>
      <c r="U22" s="92"/>
      <c r="V22" s="41"/>
      <c r="W22" s="5"/>
      <c r="X22" s="5"/>
      <c r="Y22" s="5"/>
      <c r="Z22" s="5"/>
      <c r="AA22" s="44"/>
      <c r="AB22" s="44"/>
      <c r="AC22" s="44"/>
      <c r="AD22" s="44"/>
      <c r="AE22" s="227"/>
      <c r="AF22" s="41"/>
      <c r="AG22" s="5"/>
      <c r="AH22" s="5"/>
      <c r="AI22" s="281"/>
      <c r="AJ22" s="281"/>
      <c r="AK22" s="281"/>
      <c r="AL22" s="5"/>
      <c r="AM22" s="5"/>
      <c r="AN22" s="235"/>
    </row>
    <row r="23" spans="1:40" s="61" customFormat="1" ht="12">
      <c r="A23" s="56" t="s">
        <v>1177</v>
      </c>
      <c r="B23" s="58">
        <f>SUM(B10:B22)</f>
        <v>195</v>
      </c>
      <c r="C23" s="58"/>
      <c r="D23" s="58">
        <f aca="true" t="shared" si="8" ref="D23:K23">SUM(D10:D22)</f>
        <v>4684</v>
      </c>
      <c r="E23" s="58">
        <f t="shared" si="8"/>
        <v>3647</v>
      </c>
      <c r="F23" s="58">
        <f t="shared" si="8"/>
        <v>1338</v>
      </c>
      <c r="G23" s="58">
        <f t="shared" si="8"/>
        <v>686</v>
      </c>
      <c r="H23" s="58">
        <f t="shared" si="8"/>
        <v>1623</v>
      </c>
      <c r="I23" s="58">
        <f t="shared" si="8"/>
        <v>0</v>
      </c>
      <c r="J23" s="58">
        <f t="shared" si="8"/>
        <v>0</v>
      </c>
      <c r="K23" s="58">
        <f t="shared" si="8"/>
        <v>0</v>
      </c>
      <c r="L23" s="228">
        <f>E23/D23</f>
        <v>0.7786080273270709</v>
      </c>
      <c r="M23" s="56" t="s">
        <v>1177</v>
      </c>
      <c r="N23" s="58">
        <f>SUM(N10:N22)</f>
        <v>181</v>
      </c>
      <c r="O23" s="58"/>
      <c r="P23" s="58">
        <f>SUM(P10:P22)</f>
        <v>4168</v>
      </c>
      <c r="Q23" s="58">
        <f>SUM(Q10:Q22)</f>
        <v>3437</v>
      </c>
      <c r="R23" s="58">
        <f>SUM(R10:R22)</f>
        <v>1914</v>
      </c>
      <c r="S23" s="58">
        <f>SUM(S10:S22)</f>
        <v>1603</v>
      </c>
      <c r="T23" s="58">
        <f>SUM(T10:T22)</f>
        <v>0</v>
      </c>
      <c r="U23" s="229">
        <f>Q23/P23</f>
        <v>0.824616122840691</v>
      </c>
      <c r="V23" s="56" t="s">
        <v>1177</v>
      </c>
      <c r="W23" s="58">
        <f aca="true" t="shared" si="9" ref="W23:AD23">SUM(W10:W22)</f>
        <v>178</v>
      </c>
      <c r="X23" s="58">
        <f t="shared" si="9"/>
        <v>475</v>
      </c>
      <c r="Y23" s="58">
        <f t="shared" si="9"/>
        <v>8612</v>
      </c>
      <c r="Z23" s="58">
        <f t="shared" si="9"/>
        <v>7408</v>
      </c>
      <c r="AA23" s="58">
        <f t="shared" si="9"/>
        <v>2176</v>
      </c>
      <c r="AB23" s="58">
        <f t="shared" si="9"/>
        <v>3879</v>
      </c>
      <c r="AC23" s="58">
        <f t="shared" si="9"/>
        <v>1373</v>
      </c>
      <c r="AD23" s="58">
        <f t="shared" si="9"/>
        <v>0</v>
      </c>
      <c r="AE23" s="228">
        <f>Z23/Y23</f>
        <v>0.8601950766372504</v>
      </c>
      <c r="AF23" s="56" t="s">
        <v>1177</v>
      </c>
      <c r="AG23" s="58">
        <f aca="true" t="shared" si="10" ref="AG23:AM23">SUM(AG10:AG22)</f>
        <v>231</v>
      </c>
      <c r="AH23" s="58">
        <f t="shared" si="10"/>
        <v>0</v>
      </c>
      <c r="AI23" s="58">
        <f t="shared" si="10"/>
        <v>267</v>
      </c>
      <c r="AJ23" s="58">
        <f t="shared" si="10"/>
        <v>5242</v>
      </c>
      <c r="AK23" s="58">
        <f t="shared" si="10"/>
        <v>2544</v>
      </c>
      <c r="AL23" s="58">
        <f t="shared" si="10"/>
        <v>425</v>
      </c>
      <c r="AM23" s="58">
        <f t="shared" si="10"/>
        <v>6293</v>
      </c>
      <c r="AN23" s="235">
        <f>SUM(AN10:AN22)/12</f>
        <v>0.7712034656563719</v>
      </c>
    </row>
    <row r="24" spans="1:40" ht="12">
      <c r="A24" s="41"/>
      <c r="B24" s="5"/>
      <c r="C24" s="5"/>
      <c r="D24" s="5"/>
      <c r="E24" s="5"/>
      <c r="F24" s="5"/>
      <c r="G24" s="5"/>
      <c r="H24" s="5"/>
      <c r="I24" s="5"/>
      <c r="J24" s="5"/>
      <c r="K24" s="44"/>
      <c r="L24" s="227"/>
      <c r="M24" s="41"/>
      <c r="N24" s="5"/>
      <c r="O24" s="5"/>
      <c r="P24" s="5"/>
      <c r="Q24" s="5"/>
      <c r="R24" s="5"/>
      <c r="S24" s="5"/>
      <c r="T24" s="5"/>
      <c r="U24" s="92"/>
      <c r="V24" s="41"/>
      <c r="W24" s="5"/>
      <c r="X24" s="5"/>
      <c r="Y24" s="5"/>
      <c r="Z24" s="5"/>
      <c r="AA24" s="44"/>
      <c r="AB24" s="44"/>
      <c r="AC24" s="44"/>
      <c r="AD24" s="44"/>
      <c r="AE24" s="227"/>
      <c r="AF24" s="41"/>
      <c r="AG24" s="5"/>
      <c r="AH24" s="5"/>
      <c r="AI24" s="5"/>
      <c r="AJ24" s="5"/>
      <c r="AK24" s="5"/>
      <c r="AL24" s="5"/>
      <c r="AM24" s="5"/>
      <c r="AN24" s="41"/>
    </row>
    <row r="25" spans="1:40" s="9" customFormat="1" ht="12">
      <c r="A25" s="2" t="s">
        <v>1178</v>
      </c>
      <c r="B25" s="4"/>
      <c r="C25" s="4"/>
      <c r="D25" s="4"/>
      <c r="E25" s="4"/>
      <c r="F25" s="230">
        <f>F23/E23</f>
        <v>0.36687688511105015</v>
      </c>
      <c r="G25" s="230">
        <f>G23/E23</f>
        <v>0.18809980806142035</v>
      </c>
      <c r="H25" s="230">
        <f>H23/E23</f>
        <v>0.4450233068275295</v>
      </c>
      <c r="I25" s="4"/>
      <c r="J25" s="4"/>
      <c r="K25" s="231">
        <f>K23/E23</f>
        <v>0</v>
      </c>
      <c r="L25" s="231"/>
      <c r="M25" s="2" t="s">
        <v>1178</v>
      </c>
      <c r="N25" s="4"/>
      <c r="O25" s="4"/>
      <c r="P25" s="4"/>
      <c r="Q25" s="4"/>
      <c r="R25" s="4"/>
      <c r="S25" s="230">
        <f>S23/Q23</f>
        <v>0.4663951120162933</v>
      </c>
      <c r="T25" s="230">
        <f>T23/Q23</f>
        <v>0</v>
      </c>
      <c r="U25" s="230"/>
      <c r="V25" s="2" t="s">
        <v>1178</v>
      </c>
      <c r="W25" s="4"/>
      <c r="X25" s="4"/>
      <c r="Y25" s="4"/>
      <c r="Z25" s="4"/>
      <c r="AA25" s="8"/>
      <c r="AB25" s="231">
        <f>AB23/Z23</f>
        <v>0.5236231101511879</v>
      </c>
      <c r="AC25" s="231">
        <f>AC23/Z23</f>
        <v>0.1853401727861771</v>
      </c>
      <c r="AD25" s="8"/>
      <c r="AE25" s="231"/>
      <c r="AF25" s="2" t="s">
        <v>937</v>
      </c>
      <c r="AG25" s="4"/>
      <c r="AH25" s="4"/>
      <c r="AI25" s="4"/>
      <c r="AJ25" s="4"/>
      <c r="AK25" s="230">
        <f>AK23/AJ23</f>
        <v>0.4853109500190767</v>
      </c>
      <c r="AL25" s="4"/>
      <c r="AM25" s="4"/>
      <c r="AN25" s="2"/>
    </row>
    <row r="26" spans="1:40" s="9" customFormat="1" ht="12">
      <c r="A26" s="2"/>
      <c r="B26" s="4"/>
      <c r="C26" s="4"/>
      <c r="D26" s="4"/>
      <c r="E26" s="4"/>
      <c r="F26" s="4"/>
      <c r="G26" s="230"/>
      <c r="H26" s="230"/>
      <c r="I26" s="4"/>
      <c r="J26" s="4"/>
      <c r="K26" s="231"/>
      <c r="L26" s="231"/>
      <c r="M26" s="2"/>
      <c r="N26" s="4"/>
      <c r="O26" s="4"/>
      <c r="P26" s="4"/>
      <c r="Q26" s="4"/>
      <c r="R26" s="4"/>
      <c r="S26" s="230"/>
      <c r="T26" s="230"/>
      <c r="U26" s="230"/>
      <c r="V26" s="2"/>
      <c r="W26" s="4"/>
      <c r="X26" s="4"/>
      <c r="Y26" s="4"/>
      <c r="Z26" s="4"/>
      <c r="AA26" s="8"/>
      <c r="AB26" s="8"/>
      <c r="AC26" s="8"/>
      <c r="AD26" s="8"/>
      <c r="AE26" s="231"/>
      <c r="AF26" s="2"/>
      <c r="AG26" s="4"/>
      <c r="AH26" s="4"/>
      <c r="AI26" s="4"/>
      <c r="AJ26" s="4"/>
      <c r="AK26" s="4"/>
      <c r="AL26" s="4"/>
      <c r="AM26" s="4"/>
      <c r="AN26" s="2"/>
    </row>
    <row r="27" spans="1:40" s="9" customFormat="1" ht="12">
      <c r="A27" s="2" t="s">
        <v>469</v>
      </c>
      <c r="B27" s="4"/>
      <c r="C27" s="4"/>
      <c r="D27" s="4"/>
      <c r="E27" s="4">
        <f>E23/200</f>
        <v>18.235</v>
      </c>
      <c r="F27" s="4"/>
      <c r="G27" s="230"/>
      <c r="H27" s="230"/>
      <c r="I27" s="4"/>
      <c r="J27" s="4"/>
      <c r="K27" s="231"/>
      <c r="L27" s="231"/>
      <c r="M27" s="2" t="s">
        <v>469</v>
      </c>
      <c r="N27" s="4"/>
      <c r="O27" s="4"/>
      <c r="P27" s="4"/>
      <c r="Q27" s="4">
        <f>Q23/185</f>
        <v>18.57837837837838</v>
      </c>
      <c r="R27" s="4"/>
      <c r="S27" s="230"/>
      <c r="T27" s="230"/>
      <c r="U27" s="230"/>
      <c r="V27" s="2" t="s">
        <v>469</v>
      </c>
      <c r="W27" s="4"/>
      <c r="X27" s="4"/>
      <c r="Y27" s="4"/>
      <c r="Z27" s="4"/>
      <c r="AA27" s="8"/>
      <c r="AB27" s="8"/>
      <c r="AC27" s="8"/>
      <c r="AD27" s="8"/>
      <c r="AE27" s="231"/>
      <c r="AF27" s="2"/>
      <c r="AG27" s="4"/>
      <c r="AH27" s="4"/>
      <c r="AI27" s="4"/>
      <c r="AJ27" s="4"/>
      <c r="AK27" s="4"/>
      <c r="AL27" s="4"/>
      <c r="AM27" s="4"/>
      <c r="AN27" s="2"/>
    </row>
    <row r="28" spans="1:40" ht="12">
      <c r="A28" s="41"/>
      <c r="B28" s="5"/>
      <c r="C28" s="5"/>
      <c r="D28" s="5"/>
      <c r="E28" s="5"/>
      <c r="F28" s="5"/>
      <c r="G28" s="5"/>
      <c r="H28" s="5"/>
      <c r="I28" s="5"/>
      <c r="J28" s="5"/>
      <c r="K28" s="44"/>
      <c r="L28" s="227"/>
      <c r="M28" s="41"/>
      <c r="N28" s="5"/>
      <c r="O28" s="5"/>
      <c r="P28" s="5"/>
      <c r="Q28" s="5"/>
      <c r="R28" s="5"/>
      <c r="S28" s="5"/>
      <c r="T28" s="5"/>
      <c r="U28" s="92"/>
      <c r="V28" s="41"/>
      <c r="W28" s="5"/>
      <c r="X28" s="5"/>
      <c r="Y28" s="5"/>
      <c r="Z28" s="5"/>
      <c r="AA28" s="44"/>
      <c r="AB28" s="44"/>
      <c r="AC28" s="44"/>
      <c r="AD28" s="44"/>
      <c r="AE28" s="227"/>
      <c r="AF28" s="41"/>
      <c r="AG28" s="5"/>
      <c r="AH28" s="5"/>
      <c r="AI28" s="5"/>
      <c r="AJ28" s="5"/>
      <c r="AK28" s="5"/>
      <c r="AL28" s="5"/>
      <c r="AM28" s="5"/>
      <c r="AN28" s="41"/>
    </row>
    <row r="29" spans="1:40" ht="12">
      <c r="A29" s="41" t="s">
        <v>1179</v>
      </c>
      <c r="B29" s="5"/>
      <c r="C29" s="5">
        <v>23</v>
      </c>
      <c r="D29" s="5"/>
      <c r="E29" s="5"/>
      <c r="F29" s="5"/>
      <c r="G29" s="5"/>
      <c r="H29" s="5"/>
      <c r="I29" s="5"/>
      <c r="J29" s="5"/>
      <c r="K29" s="44"/>
      <c r="L29" s="227"/>
      <c r="M29" s="41" t="s">
        <v>1179</v>
      </c>
      <c r="N29" s="5"/>
      <c r="O29" s="5">
        <v>16</v>
      </c>
      <c r="P29" s="5"/>
      <c r="Q29" s="5"/>
      <c r="R29" s="5"/>
      <c r="S29" s="5"/>
      <c r="T29" s="5"/>
      <c r="U29" s="92"/>
      <c r="V29" s="41" t="s">
        <v>1179</v>
      </c>
      <c r="W29" s="5"/>
      <c r="X29" s="5">
        <v>40</v>
      </c>
      <c r="Y29" s="5"/>
      <c r="Z29" s="5"/>
      <c r="AA29" s="44"/>
      <c r="AB29" s="44"/>
      <c r="AC29" s="44"/>
      <c r="AD29" s="44"/>
      <c r="AE29" s="227"/>
      <c r="AF29" s="41"/>
      <c r="AG29" s="5"/>
      <c r="AH29" s="5"/>
      <c r="AI29" s="5">
        <v>8</v>
      </c>
      <c r="AJ29" s="5"/>
      <c r="AK29" s="5">
        <v>22</v>
      </c>
      <c r="AL29" s="5">
        <v>22</v>
      </c>
      <c r="AM29" s="5"/>
      <c r="AN29" s="41"/>
    </row>
    <row r="30" spans="1:40" ht="12">
      <c r="A30" s="41"/>
      <c r="B30" s="5"/>
      <c r="C30" s="5"/>
      <c r="D30" s="5"/>
      <c r="E30" s="5"/>
      <c r="F30" s="5"/>
      <c r="G30" s="5"/>
      <c r="H30" s="5"/>
      <c r="I30" s="5"/>
      <c r="J30" s="5"/>
      <c r="K30" s="44"/>
      <c r="L30" s="227"/>
      <c r="M30" s="41"/>
      <c r="N30" s="5"/>
      <c r="O30" s="5"/>
      <c r="P30" s="5"/>
      <c r="Q30" s="5"/>
      <c r="R30" s="5"/>
      <c r="S30" s="5"/>
      <c r="T30" s="5"/>
      <c r="U30" s="92"/>
      <c r="V30" s="41"/>
      <c r="W30" s="5"/>
      <c r="X30" s="5"/>
      <c r="Y30" s="5"/>
      <c r="Z30" s="5"/>
      <c r="AA30" s="44"/>
      <c r="AB30" s="44"/>
      <c r="AC30" s="44"/>
      <c r="AD30" s="44"/>
      <c r="AE30" s="227"/>
      <c r="AF30" s="41"/>
      <c r="AG30" s="5"/>
      <c r="AH30" s="5"/>
      <c r="AI30" s="5"/>
      <c r="AJ30" s="5"/>
      <c r="AK30" s="5"/>
      <c r="AL30" s="5"/>
      <c r="AM30" s="5"/>
      <c r="AN30" s="41"/>
    </row>
    <row r="31" spans="1:40" ht="12">
      <c r="A31" s="49"/>
      <c r="B31" s="51"/>
      <c r="C31" s="51"/>
      <c r="D31" s="51"/>
      <c r="E31" s="51"/>
      <c r="F31" s="51"/>
      <c r="G31" s="51"/>
      <c r="H31" s="51"/>
      <c r="I31" s="51"/>
      <c r="J31" s="51"/>
      <c r="K31" s="53"/>
      <c r="L31" s="232"/>
      <c r="M31" s="49"/>
      <c r="N31" s="51"/>
      <c r="O31" s="51"/>
      <c r="P31" s="51"/>
      <c r="Q31" s="51"/>
      <c r="R31" s="51"/>
      <c r="S31" s="51"/>
      <c r="T31" s="51"/>
      <c r="U31" s="233"/>
      <c r="V31" s="49"/>
      <c r="W31" s="51"/>
      <c r="X31" s="51"/>
      <c r="Y31" s="51"/>
      <c r="Z31" s="51"/>
      <c r="AA31" s="53"/>
      <c r="AB31" s="53"/>
      <c r="AC31" s="53"/>
      <c r="AD31" s="53"/>
      <c r="AE31" s="232"/>
      <c r="AF31" s="49"/>
      <c r="AG31" s="51"/>
      <c r="AH31" s="51"/>
      <c r="AI31" s="51"/>
      <c r="AJ31" s="51"/>
      <c r="AK31" s="51"/>
      <c r="AL31" s="51"/>
      <c r="AM31" s="51"/>
      <c r="AN31" s="49"/>
    </row>
  </sheetData>
  <sheetProtection/>
  <mergeCells count="44">
    <mergeCell ref="AN1:AN8"/>
    <mergeCell ref="AB3:AB8"/>
    <mergeCell ref="AD3:AD8"/>
    <mergeCell ref="V1:V8"/>
    <mergeCell ref="W1:W8"/>
    <mergeCell ref="AC3:AC8"/>
    <mergeCell ref="AL1:AL8"/>
    <mergeCell ref="AM1:AM8"/>
    <mergeCell ref="AH1:AH8"/>
    <mergeCell ref="AI1:AI8"/>
    <mergeCell ref="X1:AE2"/>
    <mergeCell ref="AF1:AF8"/>
    <mergeCell ref="AJ1:AJ8"/>
    <mergeCell ref="AK1:AK8"/>
    <mergeCell ref="X3:X8"/>
    <mergeCell ref="Y3:Y8"/>
    <mergeCell ref="Z3:Z8"/>
    <mergeCell ref="AE3:AE8"/>
    <mergeCell ref="AG1:AG8"/>
    <mergeCell ref="AA3:AA8"/>
    <mergeCell ref="O3:O8"/>
    <mergeCell ref="P3:P8"/>
    <mergeCell ref="O1:U2"/>
    <mergeCell ref="Q3:Q8"/>
    <mergeCell ref="S3:S8"/>
    <mergeCell ref="R3:R8"/>
    <mergeCell ref="U3:U8"/>
    <mergeCell ref="T3:T8"/>
    <mergeCell ref="M1:M8"/>
    <mergeCell ref="N1:N8"/>
    <mergeCell ref="E3:E8"/>
    <mergeCell ref="F3:F8"/>
    <mergeCell ref="G3:G8"/>
    <mergeCell ref="H3:H8"/>
    <mergeCell ref="J5:J8"/>
    <mergeCell ref="K5:K8"/>
    <mergeCell ref="I3:K4"/>
    <mergeCell ref="L3:L8"/>
    <mergeCell ref="B1:B8"/>
    <mergeCell ref="A1:A8"/>
    <mergeCell ref="C3:C8"/>
    <mergeCell ref="D3:D8"/>
    <mergeCell ref="C1:L2"/>
    <mergeCell ref="I5:I8"/>
  </mergeCells>
  <printOptions horizontalCentered="1"/>
  <pageMargins left="0.37" right="0.25" top="1.6141732283464567" bottom="0.984251968503937" header="0.5118110236220472" footer="0.5118110236220472"/>
  <pageSetup horizontalDpi="600" verticalDpi="600" orientation="landscape" paperSize="9" r:id="rId1"/>
  <headerFooter alignWithMargins="0">
    <oddHeader>&amp;C
&amp;"Arial,Félkövér dőlt"KIMUTATÁS A 2007 ÉVI ÉTKEZTETÉSIGÉNYBEVÉTELÉRŐL
KIHASZNÁLTSÁGI MUTATÓ SZÁMÍTÁSA&amp;R&amp;"Arial,Dőlt"&amp;8 1.számú melléklet</oddHeader>
    <oddFooter>&amp;C&amp;"Arial,Dőlt"&amp;8&amp;P. oldal</oddFooter>
  </headerFooter>
  <colBreaks count="3" manualBreakCount="3">
    <brk id="12" max="65535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Tiszagyulaháza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</dc:creator>
  <cp:keywords/>
  <dc:description/>
  <cp:lastModifiedBy>Körjegyzőség</cp:lastModifiedBy>
  <cp:lastPrinted>2009-04-06T10:27:09Z</cp:lastPrinted>
  <dcterms:created xsi:type="dcterms:W3CDTF">2005-01-17T10:55:59Z</dcterms:created>
  <dcterms:modified xsi:type="dcterms:W3CDTF">2009-03-01T20:15:33Z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